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autoCompressPictures="0"/>
  <mc:AlternateContent xmlns:mc="http://schemas.openxmlformats.org/markup-compatibility/2006">
    <mc:Choice Requires="x15">
      <x15ac:absPath xmlns:x15ac="http://schemas.microsoft.com/office/spreadsheetml/2010/11/ac" url="https://nibe-my.sharepoint.com/personal/2205jopy_nibe_se/Documents/Skrivbordet/"/>
    </mc:Choice>
  </mc:AlternateContent>
  <xr:revisionPtr revIDLastSave="0" documentId="8_{44A30B04-2B46-40F6-9F32-51B561CB0BC8}" xr6:coauthVersionLast="45" xr6:coauthVersionMax="45"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C8" i="6" l="1"/>
  <c r="C10" i="6"/>
  <c r="C9" i="6"/>
  <c r="C11"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40" i="6" l="1"/>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7" i="5"/>
  <c r="T9" i="5"/>
  <c r="T11" i="5"/>
  <c r="T8"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<sst xmlns="http://schemas.openxmlformats.org/spreadsheetml/2006/main" count="21951" uniqueCount="15611">
  <si>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</si>
  <si>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</si>
  <si>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</si>
  <si>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</si>
  <si>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</si>
  <si>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</si>
  <si>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</si>
  <si>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</si>
  <si>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</si>
  <si>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</si>
  <si>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</si>
  <si>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</si>
  <si>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</si>
  <si>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</si>
  <si>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</si>
  <si>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</si>
  <si>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</si>
  <si>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</si>
  <si>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</si>
  <si>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</si>
  <si>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</si>
  <si>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</si>
  <si>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</si>
  <si>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</si>
  <si>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</si>
  <si>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</si>
  <si>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</si>
  <si>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</si>
  <si>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</si>
  <si>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</si>
  <si>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</si>
  <si>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</si>
  <si>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</si>
  <si>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</si>
  <si>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</si>
  <si>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</si>
  <si>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</si>
  <si>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</si>
  <si>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</si>
  <si>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</si>
  <si>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</si>
  <si>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</si>
  <si>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</si>
  <si>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</si>
  <si>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</si>
  <si>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</si>
  <si>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</si>
  <si>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</si>
  <si>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</si>
  <si>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</si>
  <si>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</si>
  <si>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</si>
  <si>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</si>
  <si>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</si>
  <si>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</si>
  <si>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</si>
  <si>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</si>
  <si>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</si>
  <si>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</si>
  <si>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</si>
  <si>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</si>
  <si>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</si>
  <si>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</si>
  <si>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</si>
  <si>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</si>
  <si>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</si>
  <si>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</si>
  <si>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</si>
  <si>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</si>
  <si>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</si>
  <si>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</si>
  <si>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</si>
  <si>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</si>
  <si>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</si>
  <si>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</si>
  <si>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</si>
  <si>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</si>
  <si>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</si>
  <si>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</si>
  <si>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</si>
  <si>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</si>
  <si>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</si>
  <si>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</si>
  <si>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</si>
  <si>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</si>
  <si>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</si>
  <si>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</si>
  <si>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</si>
  <si>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</si>
  <si>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</si>
  <si>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</si>
  <si>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</si>
  <si>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</si>
  <si>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</si>
  <si>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</si>
  <si>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</si>
  <si>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</si>
  <si>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</si>
  <si>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</si>
  <si>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</si>
  <si>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</si>
  <si>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</si>
  <si>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</si>
  <si>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</si>
  <si>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</si>
  <si>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</si>
  <si>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</si>
  <si>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</si>
  <si>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</si>
  <si>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</si>
  <si>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</si>
  <si>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</si>
  <si>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</si>
  <si>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</si>
  <si>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</si>
  <si>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</si>
  <si>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</si>
  <si>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</si>
  <si>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</si>
  <si>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</si>
  <si>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</si>
  <si>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</si>
  <si>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</si>
  <si>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</si>
  <si>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</si>
  <si>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</si>
  <si>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</si>
  <si>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</si>
  <si>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</si>
  <si>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</si>
  <si>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</si>
  <si>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</si>
  <si>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</si>
  <si>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</si>
  <si>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</si>
  <si>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</si>
  <si>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</si>
  <si>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</si>
  <si>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</si>
  <si>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</si>
  <si>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</si>
  <si>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</si>
  <si>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</si>
  <si>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</si>
  <si>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</si>
  <si>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</si>
  <si>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</si>
  <si>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</si>
  <si>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</si>
  <si>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</si>
  <si>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</si>
  <si>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</si>
  <si>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</si>
  <si>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</si>
  <si>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</si>
  <si>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</si>
  <si>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</si>
  <si>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</si>
  <si>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</si>
  <si>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</si>
  <si>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</si>
  <si>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</si>
  <si>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</si>
  <si>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</si>
  <si>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</si>
  <si>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</si>
  <si>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</si>
  <si>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</si>
  <si>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</si>
  <si>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</si>
  <si>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</si>
  <si>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</si>
  <si>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</si>
  <si>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</si>
  <si>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</si>
  <si>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</si>
  <si>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</si>
  <si>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</si>
  <si>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</si>
  <si>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</si>
  <si>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</si>
  <si>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</si>
  <si>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</si>
  <si>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</si>
  <si>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</si>
  <si>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</si>
  <si>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</si>
  <si>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</si>
  <si>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</si>
  <si>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</si>
  <si>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</si>
  <si>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</si>
  <si>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</si>
  <si>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</si>
  <si>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</si>
  <si>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</si>
  <si>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</si>
  <si>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</si>
  <si>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</si>
  <si>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</si>
  <si>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</si>
  <si>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</si>
  <si>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</si>
  <si>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</si>
  <si>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</si>
  <si>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</si>
  <si>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</si>
  <si>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</si>
  <si>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</si>
  <si>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</si>
  <si>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</si>
  <si>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</si>
  <si>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</si>
  <si>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</si>
  <si>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</si>
  <si>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</si>
  <si>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</si>
  <si>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</si>
  <si>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</si>
  <si>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</si>
  <si>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</si>
  <si>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</si>
  <si>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</si>
  <si>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</si>
  <si>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</si>
  <si>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</si>
  <si>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</si>
  <si>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</si>
  <si>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</si>
  <si>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</si>
  <si>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</si>
  <si>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</si>
  <si>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</si>
  <si>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</si>
  <si>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</si>
  <si>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</si>
  <si>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</si>
  <si>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</si>
  <si>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</si>
  <si>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</si>
  <si>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</si>
  <si>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</si>
  <si>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</si>
  <si>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</si>
  <si>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</si>
  <si>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</si>
  <si>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</si>
  <si>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</si>
  <si>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</si>
  <si>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</si>
  <si>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</si>
  <si>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</si>
  <si>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</si>
  <si>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</si>
  <si>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</si>
  <si>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</si>
  <si>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</si>
  <si>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</si>
  <si>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</si>
  <si>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</si>
  <si>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</si>
  <si>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</si>
  <si>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</si>
  <si>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</si>
  <si>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</si>
  <si>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</si>
  <si>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</si>
  <si>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</si>
  <si>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</si>
  <si>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</si>
  <si>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</si>
  <si>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</si>
  <si>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</si>
  <si>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</si>
  <si>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</si>
  <si>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</si>
  <si>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</si>
  <si>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</si>
  <si>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</si>
  <si>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</si>
  <si>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</si>
  <si>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</si>
  <si>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</si>
  <si>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</si>
  <si>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</si>
  <si>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</si>
  <si>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</si>
  <si>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</si>
  <si>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</si>
  <si>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</si>
  <si>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</si>
  <si>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</si>
  <si>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</si>
  <si>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</si>
  <si>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</si>
  <si>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</si>
  <si>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</si>
  <si>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</si>
  <si>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</si>
  <si>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</si>
  <si>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</si>
  <si>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</si>
  <si>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</si>
  <si>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</si>
  <si>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</si>
  <si>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</si>
  <si>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</si>
  <si>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</si>
  <si>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</si>
  <si>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</si>
  <si>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</si>
  <si>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</si>
  <si>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</si>
  <si>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</si>
  <si>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</si>
  <si>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</si>
  <si>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</si>
  <si>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</si>
  <si>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</si>
  <si>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</si>
  <si>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</si>
  <si>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</si>
  <si>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</si>
  <si>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</si>
  <si>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</si>
  <si>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</si>
  <si>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</si>
  <si>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</si>
  <si>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</si>
  <si>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</si>
  <si>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</si>
  <si>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</si>
  <si>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</si>
  <si>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</si>
  <si>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</si>
  <si>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</si>
  <si>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</si>
  <si>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</si>
  <si>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</si>
  <si>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</si>
  <si>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</si>
  <si>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</si>
  <si>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</si>
  <si>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</si>
  <si>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</si>
  <si>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</si>
  <si>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</si>
  <si>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</si>
  <si>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</si>
  <si>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</si>
  <si>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</si>
  <si>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</si>
  <si>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</si>
  <si>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</si>
  <si>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</si>
  <si>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</si>
  <si>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</si>
  <si>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</si>
  <si>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</si>
  <si>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</si>
  <si>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</si>
  <si>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</si>
  <si>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</si>
  <si>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</si>
  <si>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</si>
  <si>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</si>
  <si>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</si>
  <si>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</si>
  <si>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</si>
  <si>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</si>
  <si>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</si>
  <si>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</si>
  <si>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</si>
  <si>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</si>
  <si>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</si>
  <si>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</si>
  <si>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</si>
  <si>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</si>
  <si>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</si>
  <si>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</si>
  <si>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</si>
  <si>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</si>
  <si>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</si>
  <si>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</si>
  <si>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</si>
  <si>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</si>
  <si>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</si>
  <si>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</si>
  <si>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</si>
  <si>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</si>
  <si>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</si>
  <si>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</si>
  <si>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</si>
  <si>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</si>
  <si>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</si>
  <si>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</si>
  <si>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</si>
  <si>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</si>
  <si>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</si>
  <si>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</si>
  <si>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</si>
  <si>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</si>
  <si>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</si>
  <si>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</si>
  <si>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</si>
  <si>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</si>
  <si>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</si>
  <si>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</si>
  <si>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</si>
  <si>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</si>
  <si>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</si>
  <si>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</si>
  <si>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</si>
  <si>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</si>
  <si>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</si>
  <si>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</si>
  <si>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</si>
  <si>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</si>
  <si>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</si>
  <si>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</si>
  <si>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</si>
  <si>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</si>
  <si>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</si>
  <si>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</si>
  <si>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</si>
  <si>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</si>
  <si>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</si>
  <si>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</si>
  <si>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</si>
  <si>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</si>
  <si>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</si>
  <si>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</si>
  <si>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</si>
  <si>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</si>
  <si>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</si>
  <si>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</si>
  <si>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</si>
  <si>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</si>
  <si>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</si>
  <si>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</si>
  <si>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</si>
  <si>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</si>
  <si>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</si>
  <si>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</si>
  <si>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</si>
  <si>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</si>
  <si>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</si>
  <si>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</si>
  <si>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</si>
  <si>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</si>
  <si>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</si>
  <si>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</si>
  <si>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</si>
  <si>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</si>
  <si>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</si>
  <si>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</si>
  <si>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</si>
  <si>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</si>
  <si>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</si>
  <si>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</si>
  <si>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</si>
  <si>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</si>
  <si>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</si>
  <si>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</si>
  <si>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</si>
  <si>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</si>
  <si>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</si>
  <si>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</si>
  <si>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</si>
  <si>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</si>
  <si>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</si>
  <si>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</si>
  <si>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</si>
  <si>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</si>
  <si>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</si>
  <si>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</si>
  <si>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</si>
  <si>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</si>
  <si>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</si>
  <si>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</si>
  <si>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</si>
  <si>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</si>
  <si>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</si>
  <si>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</si>
  <si>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</si>
  <si>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</si>
  <si>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</si>
  <si>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</si>
  <si>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</si>
  <si>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</si>
  <si>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</si>
  <si>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</si>
  <si>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</si>
  <si>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</si>
  <si>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</si>
  <si>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</si>
  <si>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</si>
  <si>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</si>
  <si>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</si>
  <si>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</si>
  <si>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</si>
  <si>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</si>
  <si>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</si>
  <si>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</si>
  <si>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</si>
  <si>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</si>
  <si>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</si>
  <si>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</si>
  <si>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</si>
  <si>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</si>
  <si>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</si>
  <si>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</si>
  <si>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</si>
  <si>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</si>
  <si>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</si>
  <si>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</si>
  <si>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</si>
  <si>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</si>
  <si>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</si>
  <si>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</si>
  <si>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</si>
  <si>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</si>
  <si>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</si>
  <si>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</si>
  <si>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</si>
  <si>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</si>
  <si>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</si>
  <si>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</si>
  <si>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</si>
  <si>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</si>
  <si>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</si>
  <si>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</si>
  <si>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</si>
  <si>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</si>
  <si>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</si>
  <si>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</si>
  <si>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</si>
  <si>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</si>
  <si>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</si>
  <si>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</si>
  <si>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</si>
  <si>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</si>
  <si>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</si>
  <si>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</si>
  <si>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</si>
  <si>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</si>
  <si>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</si>
  <si>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</si>
  <si>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</si>
  <si>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</si>
  <si>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</si>
  <si>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</si>
  <si>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</si>
  <si>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</si>
  <si>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</si>
  <si>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</si>
  <si>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</si>
  <si>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</si>
  <si>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</si>
  <si>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</si>
  <si>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</si>
  <si>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</si>
  <si>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</si>
  <si>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</si>
  <si>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</si>
  <si>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</si>
  <si>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</si>
  <si>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</si>
  <si>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</si>
  <si>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</si>
  <si>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</si>
  <si>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</si>
  <si>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</si>
  <si>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</si>
  <si>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</si>
  <si>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</si>
  <si>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</si>
  <si>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</si>
  <si>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</si>
  <si>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</si>
  <si>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</si>
  <si>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</si>
  <si>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</si>
  <si>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</si>
  <si>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</si>
  <si>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</si>
  <si>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</si>
  <si>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</si>
  <si>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</si>
  <si>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</si>
  <si>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</si>
  <si>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</si>
  <si>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</si>
  <si>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</si>
  <si>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</si>
  <si>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</si>
  <si>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</si>
  <si>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</si>
  <si>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</si>
  <si>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</si>
  <si>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</si>
  <si>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</si>
  <si>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</si>
  <si>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</si>
  <si>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</si>
  <si>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</si>
  <si>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</si>
  <si>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</si>
  <si>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</si>
  <si>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</si>
  <si>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</si>
  <si>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</si>
  <si>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</si>
  <si>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</si>
  <si>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</si>
  <si>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</si>
  <si>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</si>
  <si>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</si>
  <si>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</si>
  <si>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</si>
  <si>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</si>
  <si>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</si>
  <si>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</si>
  <si>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</si>
  <si>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</si>
  <si>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</si>
  <si>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</si>
  <si>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</si>
  <si>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</si>
  <si>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</si>
  <si>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</si>
  <si>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</si>
  <si>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</si>
  <si>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</si>
  <si>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</si>
  <si>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</si>
  <si>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</si>
  <si>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</si>
  <si>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</si>
  <si>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</si>
  <si>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</si>
  <si>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</si>
  <si>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</si>
  <si>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</si>
  <si>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</si>
  <si>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</si>
  <si>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</si>
  <si>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</si>
  <si>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</si>
  <si>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</si>
  <si>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</si>
  <si>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</si>
  <si>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</si>
  <si>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</si>
  <si>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</si>
  <si>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</si>
  <si>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</si>
  <si>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</si>
  <si>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</si>
  <si>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</si>
  <si>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</si>
  <si>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</si>
  <si>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</si>
  <si>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</si>
  <si>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</si>
  <si>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</si>
  <si>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</si>
  <si>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</si>
  <si>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</si>
  <si>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</si>
  <si>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</si>
  <si>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</si>
  <si>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</si>
  <si>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</si>
  <si>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</si>
  <si>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</si>
  <si>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</si>
  <si>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</si>
  <si>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</si>
  <si>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</si>
  <si>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</si>
  <si>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</si>
  <si>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</si>
  <si>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</si>
  <si>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</si>
  <si>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</si>
  <si>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</si>
  <si>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</si>
  <si>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</si>
  <si>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</si>
  <si>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</si>
  <si>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</si>
  <si>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</si>
  <si>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</si>
  <si>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</si>
  <si>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</si>
  <si>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</si>
  <si>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</si>
  <si>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</si>
  <si>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</si>
  <si>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</si>
  <si>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</si>
  <si>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</si>
  <si>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</si>
  <si>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</si>
  <si>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</si>
  <si>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</si>
  <si>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</si>
  <si>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</si>
  <si>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</si>
  <si>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</si>
  <si>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</si>
  <si>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</si>
  <si>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</si>
  <si>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</si>
  <si>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</si>
  <si>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</si>
  <si>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</si>
  <si>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</si>
  <si>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</si>
  <si>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</si>
  <si>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</si>
  <si>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</si>
  <si>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</si>
  <si>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</si>
  <si>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</si>
  <si>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</si>
  <si>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</si>
  <si>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</si>
  <si>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</si>
  <si>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</si>
  <si>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</si>
  <si>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</si>
  <si>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</si>
  <si>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</si>
  <si>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</si>
  <si>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</si>
  <si>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</si>
  <si>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</si>
  <si>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</si>
  <si>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</si>
  <si>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</si>
  <si>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</si>
  <si>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</si>
  <si>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</si>
  <si>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</si>
  <si>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</si>
  <si>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</si>
  <si>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</si>
  <si>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</si>
  <si>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</si>
  <si>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</si>
  <si>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</si>
  <si>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</si>
  <si>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</si>
  <si>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</si>
  <si>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</si>
  <si>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</si>
  <si>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</si>
  <si>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</si>
  <si>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</si>
  <si>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</si>
  <si>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</si>
  <si>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</si>
  <si>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</si>
  <si>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</si>
  <si>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</si>
  <si>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</si>
  <si>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</si>
  <si>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</si>
  <si>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</si>
  <si>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</si>
  <si>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</si>
  <si>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</si>
  <si>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</si>
  <si>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</si>
  <si>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</si>
  <si>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</si>
  <si>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</si>
  <si>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</si>
  <si>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</si>
  <si>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</si>
  <si>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</si>
  <si>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</si>
  <si>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</si>
  <si>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</si>
  <si>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</si>
  <si>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</si>
  <si>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</si>
  <si>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</si>
  <si>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</si>
  <si>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</si>
  <si>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</si>
  <si>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</si>
  <si>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</si>
  <si>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</si>
  <si>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</si>
  <si>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</si>
  <si>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</si>
  <si>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</si>
  <si>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</si>
  <si>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</si>
  <si>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</si>
  <si>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</si>
  <si>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</si>
  <si>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</si>
  <si>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</si>
  <si>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</si>
  <si>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</si>
  <si>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</si>
  <si>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</si>
  <si>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</si>
  <si>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</si>
  <si>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</si>
  <si>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</si>
  <si>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</si>
  <si>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</si>
  <si>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</si>
  <si>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</si>
  <si>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</si>
  <si>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</si>
  <si>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</si>
  <si>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</si>
  <si>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</si>
  <si>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</si>
  <si>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</si>
  <si>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</si>
  <si>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</si>
  <si>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</si>
  <si>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</si>
  <si>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</si>
  <si>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</si>
  <si>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</si>
  <si>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</si>
  <si>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</si>
  <si>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</si>
  <si>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</si>
  <si>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</si>
  <si>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</si>
  <si>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</si>
  <si>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</si>
  <si>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</si>
  <si>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</si>
  <si>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</si>
  <si>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</si>
  <si>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</si>
  <si>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</si>
  <si>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</si>
  <si>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</si>
  <si>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</si>
  <si>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</si>
  <si>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</si>
  <si>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</si>
  <si>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</si>
  <si>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</si>
  <si>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</si>
  <si>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</si>
  <si>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</si>
  <si>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</si>
  <si>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</si>
  <si>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</si>
  <si>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</si>
  <si>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</si>
  <si>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</si>
  <si>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</si>
  <si>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</si>
  <si>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</si>
  <si>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</si>
  <si>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</si>
  <si>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</si>
  <si>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</si>
  <si>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</si>
  <si>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</si>
  <si>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</si>
  <si>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</si>
  <si>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</si>
  <si>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</si>
  <si>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</si>
  <si>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</si>
  <si>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</si>
  <si>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</si>
  <si>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</si>
  <si>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</si>
  <si>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</si>
  <si>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</si>
  <si>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</si>
  <si>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</si>
  <si>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</si>
  <si>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</si>
  <si>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</si>
  <si>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</si>
  <si>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</si>
  <si>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</si>
  <si>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</si>
  <si>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</si>
  <si>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</si>
  <si>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</si>
  <si>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</si>
  <si>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</si>
  <si>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</si>
  <si>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</si>
  <si>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</si>
  <si>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</si>
  <si>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</si>
  <si>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</si>
  <si>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</si>
  <si>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</si>
  <si>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</si>
  <si>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</si>
  <si>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</si>
  <si>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</si>
  <si>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</si>
  <si>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</si>
  <si>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</si>
  <si>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</si>
  <si>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</si>
  <si>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</si>
  <si>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</si>
  <si>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</si>
  <si>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</si>
  <si>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</si>
  <si>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</si>
  <si>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</si>
  <si>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</si>
  <si>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</si>
  <si>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</si>
  <si>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</si>
  <si>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</si>
  <si>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</si>
  <si>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</si>
  <si>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</si>
  <si>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</si>
  <si>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</si>
  <si>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</si>
  <si>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</si>
  <si>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</si>
  <si>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</si>
  <si>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</si>
  <si>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</si>
  <si>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</si>
  <si>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</si>
  <si>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</si>
  <si>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</si>
  <si>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</si>
  <si>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</si>
  <si>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</si>
  <si>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</si>
  <si>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</si>
  <si>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</si>
  <si>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</si>
  <si>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</si>
  <si>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</si>
  <si>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</si>
  <si>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</si>
  <si>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</si>
  <si>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</si>
  <si>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</si>
  <si>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</si>
  <si>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</si>
  <si>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</si>
  <si>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</si>
  <si>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</si>
  <si>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</si>
  <si>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</si>
  <si>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</si>
  <si>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</si>
  <si>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</si>
  <si>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</si>
  <si>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</si>
  <si>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</si>
  <si>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</si>
  <si>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</si>
  <si>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</si>
  <si>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</si>
  <si>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</si>
  <si>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</si>
  <si>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</si>
  <si>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</si>
  <si>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</si>
  <si>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</si>
  <si>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</si>
  <si>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</si>
  <si>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</si>
  <si>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</si>
  <si>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</si>
  <si>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</si>
  <si>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</si>
  <si>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</si>
  <si>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</si>
  <si>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</si>
  <si>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</si>
  <si>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</si>
  <si>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</si>
  <si>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</si>
  <si>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</si>
  <si>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</si>
  <si>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</si>
  <si>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</si>
  <si>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</si>
  <si>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</si>
  <si>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</si>
  <si>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</si>
  <si>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</si>
  <si>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</si>
  <si>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</si>
  <si>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</si>
  <si>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</si>
  <si>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</si>
  <si>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</si>
  <si>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</si>
  <si>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</si>
  <si>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</si>
  <si>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</si>
  <si>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</si>
  <si>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</si>
  <si>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</si>
  <si>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</si>
  <si>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</si>
  <si>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</si>
  <si>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</si>
  <si>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</si>
  <si>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</si>
  <si>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</si>
  <si>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</si>
  <si>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</si>
  <si>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</si>
  <si>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</si>
  <si>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</si>
  <si>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</si>
  <si>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</si>
  <si>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</si>
  <si>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</si>
  <si>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</si>
  <si>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</si>
  <si>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</si>
  <si>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</si>
  <si>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</si>
  <si>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</si>
  <si>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</si>
  <si>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</si>
  <si>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</si>
  <si>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</si>
  <si>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</si>
  <si>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</si>
  <si>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</si>
  <si>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</si>
  <si>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</si>
  <si>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</si>
  <si>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</si>
  <si>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</si>
  <si>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</si>
  <si>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</si>
  <si>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</si>
  <si>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</si>
  <si>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</si>
  <si>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</si>
  <si>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</si>
  <si>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</si>
  <si>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</si>
  <si>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</si>
  <si>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</si>
  <si>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</si>
  <si>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</si>
  <si>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</si>
  <si>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</si>
  <si>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</si>
  <si>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</si>
  <si>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</si>
  <si>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</si>
  <si>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</si>
  <si>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</si>
  <si>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</si>
  <si>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</si>
  <si>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</si>
  <si>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</si>
  <si>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</si>
  <si>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</si>
  <si>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</si>
  <si>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</si>
  <si>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</si>
  <si>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</si>
  <si>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</si>
  <si>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</si>
  <si>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</si>
  <si>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</si>
  <si>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</si>
  <si>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</si>
  <si>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</si>
  <si>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</si>
  <si>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</si>
  <si>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</si>
  <si>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</si>
  <si>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</si>
  <si>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</si>
  <si>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</si>
  <si>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</si>
  <si>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</si>
  <si>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</si>
  <si>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</si>
  <si>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</si>
  <si>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</si>
  <si>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</si>
  <si>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</si>
  <si>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</si>
  <si>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</si>
  <si>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</si>
  <si>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</si>
  <si>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</si>
  <si>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</si>
  <si>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</si>
  <si>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</si>
  <si>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</si>
  <si>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</si>
  <si>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</si>
  <si>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</si>
  <si>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</si>
  <si>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</si>
  <si>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</si>
  <si>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</si>
  <si>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</si>
  <si>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</si>
  <si>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</si>
  <si>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</si>
  <si>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</si>
  <si>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</si>
  <si>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</si>
  <si>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</si>
  <si>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</si>
  <si>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</si>
  <si>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</si>
  <si>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</si>
  <si>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</si>
  <si>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</si>
  <si>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</si>
  <si>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</si>
  <si>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</si>
  <si>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</si>
  <si>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</si>
  <si>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</si>
  <si>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</si>
  <si>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</si>
  <si>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</si>
  <si>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</si>
  <si>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</si>
  <si>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</si>
  <si>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</si>
  <si>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</si>
  <si>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</si>
  <si>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</si>
  <si>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</si>
  <si>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</si>
  <si>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</si>
  <si>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</si>
  <si>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</si>
  <si>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</si>
  <si>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</si>
  <si>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</si>
  <si>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</si>
  <si>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</si>
  <si>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</si>
  <si>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</si>
  <si>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</si>
  <si>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</si>
  <si>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</si>
  <si>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</si>
  <si>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</si>
  <si>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</si>
  <si>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</si>
  <si>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</si>
  <si>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</si>
  <si>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</si>
  <si>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</si>
  <si>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</si>
  <si>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</si>
  <si>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</si>
  <si>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</si>
  <si>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</si>
  <si>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</si>
  <si>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</si>
  <si>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</si>
  <si>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</si>
  <si>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</si>
  <si>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</si>
  <si>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</si>
  <si>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</si>
  <si>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</si>
  <si>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</si>
  <si>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</si>
  <si>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</si>
  <si>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</si>
  <si>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</si>
  <si>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</si>
  <si>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</si>
  <si>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</si>
  <si>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</si>
  <si>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</si>
  <si>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</si>
  <si>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</si>
  <si>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</si>
  <si>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</si>
  <si>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</si>
  <si>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</si>
  <si>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</si>
  <si>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</si>
  <si>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</si>
  <si>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</si>
  <si>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</si>
  <si>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</si>
  <si>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</si>
  <si>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</si>
  <si>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</si>
  <si>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</si>
  <si>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</si>
  <si>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</si>
  <si>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</si>
  <si>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</si>
  <si>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</si>
  <si>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</si>
  <si>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</si>
  <si>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</si>
  <si>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</si>
  <si>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</si>
  <si>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</si>
  <si>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</si>
  <si>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</si>
  <si>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</si>
  <si>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</si>
  <si>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</si>
  <si>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</si>
  <si>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</si>
  <si>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</si>
  <si>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</si>
  <si>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</si>
  <si>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</si>
  <si>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</si>
  <si>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</si>
  <si>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</si>
  <si>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</si>
  <si>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</si>
  <si>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</si>
  <si>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</si>
  <si>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</si>
  <si>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</si>
  <si>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</si>
  <si>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</si>
  <si>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</si>
  <si>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</si>
  <si>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</si>
  <si>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</si>
  <si>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</si>
  <si>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</si>
  <si>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</si>
  <si>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</si>
  <si>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</si>
  <si>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</si>
  <si>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</si>
  <si>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</si>
  <si>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</si>
  <si>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</si>
  <si>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</si>
  <si>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</si>
  <si>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</si>
  <si>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</si>
  <si>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</si>
  <si>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</si>
  <si>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</si>
  <si>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</si>
  <si>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</si>
  <si>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</si>
  <si>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</si>
  <si>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</si>
  <si>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</si>
  <si>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</si>
  <si>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</si>
  <si>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</si>
  <si>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</si>
  <si>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</si>
  <si>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</si>
  <si>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</si>
  <si>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</si>
  <si>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</si>
  <si>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</si>
  <si>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</si>
  <si>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</si>
  <si>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</si>
  <si>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</si>
  <si>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</si>
  <si>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</si>
  <si>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</si>
  <si>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</si>
  <si>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</si>
  <si>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</si>
  <si>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</si>
  <si>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</si>
  <si>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</si>
  <si>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</si>
  <si>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</si>
  <si>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</si>
  <si>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</si>
  <si>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</si>
  <si>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</si>
  <si>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</si>
  <si>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</si>
  <si>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</si>
  <si>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</si>
  <si>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</si>
  <si>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</si>
  <si>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</si>
  <si>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</si>
  <si>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</si>
  <si>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</si>
  <si>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</si>
  <si>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</si>
  <si>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</si>
  <si>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</si>
  <si>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</si>
  <si>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</si>
  <si>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</si>
  <si>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</si>
  <si>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</si>
  <si>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</si>
  <si>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</si>
  <si>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</si>
  <si>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</si>
  <si>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</si>
  <si>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</si>
  <si>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</si>
  <si>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</si>
  <si>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</si>
  <si>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</si>
  <si>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</si>
  <si>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</si>
  <si>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</si>
  <si>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</si>
  <si>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</si>
  <si>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</si>
  <si>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</si>
  <si>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</si>
  <si>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</si>
  <si>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</si>
  <si>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</si>
  <si>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</si>
  <si>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</si>
  <si>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</si>
  <si>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</si>
  <si>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</si>
  <si>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</si>
  <si>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</si>
  <si>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</si>
  <si>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</si>
  <si>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</si>
  <si>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</si>
  <si>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</si>
  <si>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</si>
  <si>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</si>
  <si>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</si>
  <si>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</si>
  <si>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</si>
  <si>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</si>
  <si>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</si>
  <si>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</si>
  <si>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</si>
  <si>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</si>
  <si>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</si>
  <si>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</si>
  <si>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</si>
  <si>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</si>
  <si>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</si>
  <si>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</si>
  <si>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</si>
  <si>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</si>
  <si>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</si>
  <si>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</si>
  <si>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</si>
  <si>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</si>
  <si>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</si>
  <si>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</si>
  <si>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</si>
  <si>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</si>
  <si>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</si>
  <si>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</si>
  <si>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</si>
  <si>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</si>
  <si>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</si>
  <si>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</si>
  <si>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</si>
  <si>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</si>
  <si>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</si>
  <si>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</si>
  <si>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</si>
  <si>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</si>
  <si>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</si>
  <si>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</si>
  <si>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</si>
  <si>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</si>
  <si>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</si>
  <si>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</si>
  <si>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</si>
  <si>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</si>
  <si>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</si>
  <si>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</si>
  <si>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</si>
  <si>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</si>
  <si>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</si>
  <si>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</si>
  <si>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</si>
  <si>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</si>
  <si>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</si>
  <si>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</si>
  <si>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</si>
  <si>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</si>
  <si>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</si>
  <si>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</si>
  <si>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</si>
  <si>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</si>
  <si>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</si>
  <si>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</si>
  <si>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</si>
  <si>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</si>
  <si>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</si>
  <si>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</si>
  <si>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</si>
  <si>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</si>
  <si>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</si>
  <si>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</si>
  <si>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</si>
  <si>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</si>
  <si>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</si>
  <si>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</si>
  <si>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</si>
  <si>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</si>
  <si>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</si>
  <si>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</si>
  <si>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</si>
  <si>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</si>
  <si>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</si>
  <si>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</si>
  <si>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</si>
  <si>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</si>
  <si>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</si>
  <si>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</si>
  <si>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</si>
  <si>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</si>
  <si>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</si>
  <si>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</si>
  <si>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</si>
  <si>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</si>
  <si>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</si>
  <si>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</si>
  <si>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</si>
  <si>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</si>
  <si>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</si>
  <si>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</si>
  <si>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</si>
  <si>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</si>
  <si>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</si>
  <si>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</si>
  <si>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</si>
  <si>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</si>
  <si>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</si>
  <si>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</si>
  <si>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</si>
  <si>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</si>
  <si>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</si>
  <si>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</si>
  <si>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</si>
  <si>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</si>
  <si>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</si>
  <si>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</si>
  <si>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</si>
  <si>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</si>
  <si>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</si>
  <si>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</si>
  <si>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</si>
  <si>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</si>
  <si>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</si>
  <si>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</si>
  <si>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</si>
  <si>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</si>
  <si>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</si>
  <si>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</si>
  <si>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</si>
  <si>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</si>
  <si>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</si>
  <si>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</si>
  <si>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</si>
  <si>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</si>
  <si>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</si>
  <si>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</si>
  <si>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</si>
  <si>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</si>
  <si>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</si>
  <si>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</si>
  <si>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</si>
  <si>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</si>
  <si>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</si>
  <si>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</si>
  <si>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</si>
  <si>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</si>
  <si>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</si>
  <si>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</si>
  <si>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</si>
  <si>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</si>
  <si>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</si>
  <si>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</si>
  <si>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</si>
  <si>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</si>
  <si>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</si>
  <si>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</si>
  <si>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</si>
  <si>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</si>
  <si>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</si>
  <si>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</si>
  <si>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</si>
  <si>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</si>
  <si>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</si>
  <si>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</si>
  <si>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</si>
  <si>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</si>
  <si>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</si>
  <si>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</si>
  <si>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</si>
  <si>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</si>
  <si>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</si>
  <si>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</si>
  <si>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</si>
  <si>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</si>
  <si>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</si>
  <si>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</si>
  <si>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</si>
  <si>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</si>
  <si>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</si>
  <si>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</si>
  <si>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</si>
  <si>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</si>
  <si>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</si>
  <si>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</si>
  <si>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</si>
  <si>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</si>
  <si>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</si>
  <si>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</si>
  <si>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</si>
  <si>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</si>
  <si>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</si>
  <si>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</si>
  <si>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</si>
  <si>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</si>
  <si>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</si>
  <si>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</si>
  <si>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</si>
  <si>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</si>
  <si>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</si>
  <si>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</si>
  <si>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</si>
  <si>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</si>
  <si>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</si>
  <si>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</si>
  <si>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</si>
  <si>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</si>
  <si>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</si>
  <si>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</si>
  <si>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</si>
  <si>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</si>
  <si>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</si>
  <si>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</si>
  <si>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</si>
  <si>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</si>
  <si>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</si>
  <si>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</si>
  <si>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</si>
  <si>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</si>
  <si>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</si>
  <si>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</si>
  <si>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</si>
  <si>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</si>
  <si>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</si>
  <si>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</si>
  <si>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</si>
  <si>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</si>
  <si>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</si>
  <si>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</si>
  <si>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</si>
  <si>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</si>
  <si>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</si>
  <si>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</si>
  <si>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</si>
  <si>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</si>
  <si>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</si>
  <si>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</si>
  <si>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</si>
  <si>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</si>
  <si>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</si>
  <si>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</si>
  <si>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</si>
  <si>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</si>
  <si>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</si>
  <si>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</si>
  <si>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</si>
  <si>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</si>
  <si>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</si>
  <si>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</si>
  <si>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</si>
  <si>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</si>
  <si>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</si>
  <si>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</si>
  <si>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</si>
  <si>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</si>
  <si>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</si>
  <si>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</si>
  <si>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</si>
  <si>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</si>
  <si>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</si>
  <si>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</si>
  <si>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</si>
  <si>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</si>
  <si>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</si>
  <si>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</si>
  <si>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</si>
  <si>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</si>
  <si>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</si>
  <si>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</si>
  <si>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</si>
  <si>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</si>
  <si>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</si>
  <si>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</si>
  <si>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</si>
  <si>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</si>
  <si>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</si>
  <si>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</si>
  <si>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</si>
  <si>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</si>
  <si>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</si>
  <si>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</si>
  <si>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</si>
  <si>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</si>
  <si>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</si>
  <si>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</si>
  <si>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</si>
  <si>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</si>
  <si>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</si>
  <si>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</si>
  <si>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</si>
  <si>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</si>
  <si>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</si>
  <si>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</si>
  <si>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</si>
  <si>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</si>
  <si>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</si>
  <si>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</si>
  <si>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</si>
  <si>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</si>
  <si>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</si>
  <si>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</si>
  <si>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</si>
  <si>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</si>
  <si>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</si>
  <si>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</si>
  <si>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</si>
  <si>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</si>
  <si>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</si>
  <si>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</si>
  <si>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</si>
  <si>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</si>
  <si>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</si>
  <si>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</si>
  <si>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</si>
  <si>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</si>
  <si>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</si>
  <si>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</si>
  <si>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</si>
  <si>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</si>
  <si>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</si>
  <si>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</si>
  <si>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</si>
  <si>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</si>
  <si>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</si>
  <si>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</si>
  <si>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</si>
  <si>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</si>
  <si>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</si>
  <si>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</si>
  <si>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</si>
  <si>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</si>
  <si>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</si>
  <si>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</si>
  <si>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</si>
  <si>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</si>
  <si>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</si>
  <si>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</si>
  <si>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</si>
  <si>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</si>
  <si>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</si>
  <si>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</si>
  <si>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</si>
  <si>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</si>
  <si>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</si>
  <si>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</si>
  <si>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</si>
  <si>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</si>
  <si>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</si>
  <si>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</si>
  <si>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</si>
  <si>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</si>
  <si>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</si>
  <si>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</si>
  <si>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</si>
  <si>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</si>
  <si>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</si>
  <si>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</si>
  <si>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</si>
  <si>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</si>
  <si>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</si>
  <si>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</si>
  <si>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</si>
  <si>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</si>
  <si>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</si>
  <si>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</si>
  <si>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</si>
  <si>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</si>
  <si>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</si>
  <si>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</si>
  <si>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</si>
  <si>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</si>
  <si>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</si>
  <si>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</si>
  <si>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</si>
  <si>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</si>
  <si>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</si>
  <si>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</si>
  <si>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</si>
  <si>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</si>
  <si>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</si>
  <si>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</si>
  <si>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</si>
  <si>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</si>
  <si>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</si>
  <si>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</si>
  <si>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</si>
  <si>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</si>
  <si>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</si>
  <si>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</si>
  <si>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</si>
  <si>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</si>
  <si>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</si>
  <si>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</si>
  <si>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</si>
  <si>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</si>
  <si>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</si>
  <si>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</si>
  <si>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</si>
  <si>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</si>
  <si>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</si>
  <si>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</si>
  <si>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</si>
  <si>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</si>
  <si>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</si>
  <si>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</si>
  <si>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</si>
  <si>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</si>
  <si>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</si>
  <si>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</si>
  <si>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</si>
  <si>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</si>
  <si>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</si>
  <si>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</si>
  <si>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</si>
  <si>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</si>
  <si>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</si>
  <si>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</si>
  <si>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</si>
  <si>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</si>
  <si>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</si>
  <si>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</si>
  <si>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</si>
  <si>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</si>
  <si>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</si>
  <si>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</si>
  <si>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</si>
  <si>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</si>
  <si>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</si>
  <si>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</si>
  <si>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</si>
  <si>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</si>
  <si>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</si>
  <si>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</si>
  <si>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</si>
  <si>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</si>
  <si>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</si>
  <si>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</si>
  <si>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</si>
  <si>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</si>
  <si>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</si>
  <si>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</si>
  <si>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</si>
  <si>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</si>
  <si>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</si>
  <si>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</si>
  <si>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</si>
  <si>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</si>
  <si>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</si>
  <si>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</si>
  <si>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</si>
  <si>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</si>
  <si>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</si>
  <si>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</si>
  <si>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</si>
  <si>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</si>
  <si>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</si>
  <si>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</si>
  <si>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</si>
  <si>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</si>
  <si>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</si>
  <si>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</si>
  <si>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</si>
  <si>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</si>
  <si>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</si>
  <si>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</si>
  <si>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</si>
  <si>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</si>
  <si>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</si>
  <si>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</si>
  <si>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</si>
  <si>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</si>
  <si>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</si>
  <si>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</si>
  <si>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</si>
  <si>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</si>
  <si>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</si>
  <si>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</si>
  <si>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</si>
  <si>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</si>
  <si>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</si>
  <si>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</si>
  <si>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</si>
  <si>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</si>
  <si>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</si>
  <si>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</si>
  <si>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</si>
  <si>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</si>
  <si>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</si>
  <si>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</si>
  <si>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</si>
  <si>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</si>
  <si>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</si>
  <si>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</si>
  <si>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</si>
  <si>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</si>
  <si>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</si>
  <si>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</si>
  <si>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</si>
  <si>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</si>
  <si>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</si>
  <si>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</si>
  <si>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</si>
  <si>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</si>
  <si>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</si>
  <si>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</si>
  <si>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</si>
  <si>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</si>
  <si>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</si>
  <si>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</si>
  <si>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</si>
  <si>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</si>
  <si>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</si>
  <si>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</si>
  <si>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</si>
  <si>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</si>
  <si>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</si>
  <si>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</si>
  <si>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</si>
  <si>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</si>
  <si>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</si>
  <si>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</si>
  <si>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</si>
  <si>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</si>
  <si>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</si>
  <si>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</si>
  <si>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</si>
  <si>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</si>
  <si>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</si>
  <si>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</si>
  <si>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</si>
  <si>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</si>
  <si>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</si>
  <si>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</si>
  <si>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</si>
  <si>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</si>
  <si>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</si>
  <si>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</si>
  <si>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</si>
  <si>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</si>
  <si>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</si>
  <si>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</si>
  <si>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</si>
  <si>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</si>
  <si>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</si>
  <si>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</si>
  <si>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</si>
  <si>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</si>
  <si>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</si>
  <si>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</si>
  <si>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</si>
  <si>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</si>
  <si>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</si>
  <si>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</si>
  <si>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</si>
  <si>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</si>
  <si>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</si>
  <si>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</si>
  <si>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</si>
  <si>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</si>
  <si>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</si>
  <si>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</si>
  <si>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</si>
  <si>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</si>
  <si>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</si>
  <si>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</si>
  <si>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</si>
  <si>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</si>
  <si>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</si>
  <si>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</si>
  <si>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</si>
  <si>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</si>
  <si>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</si>
  <si>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</si>
  <si>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</si>
  <si>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</si>
  <si>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</si>
  <si>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</si>
  <si>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</si>
  <si>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</si>
  <si>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</si>
  <si>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</si>
  <si>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</si>
  <si>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</si>
  <si>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</si>
  <si>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</si>
  <si>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</si>
  <si>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</si>
  <si>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</si>
  <si>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</si>
  <si>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</si>
  <si>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</si>
  <si>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</si>
  <si>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</si>
  <si>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</si>
  <si>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</si>
  <si>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</si>
  <si>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</si>
  <si>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</si>
  <si>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</si>
  <si>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</si>
  <si>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</si>
  <si>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</si>
  <si>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</si>
  <si>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</si>
  <si>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</si>
  <si>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</si>
  <si>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</si>
  <si>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</si>
  <si>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</si>
  <si>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</si>
  <si>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</si>
  <si>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</si>
  <si>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</si>
  <si>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</si>
  <si>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</si>
  <si>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</si>
  <si>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</si>
  <si>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</si>
  <si>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</si>
  <si>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</si>
  <si>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</si>
  <si>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</si>
  <si>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</si>
  <si>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</si>
  <si>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</si>
  <si>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</si>
  <si>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</si>
  <si>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</si>
  <si>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</si>
  <si>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</si>
  <si>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</si>
  <si>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</si>
  <si>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</si>
  <si>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</si>
  <si>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</si>
  <si>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</si>
  <si>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</si>
  <si>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</si>
  <si>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</si>
  <si>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</si>
  <si>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</si>
  <si>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</si>
  <si>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</si>
  <si>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</si>
  <si>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</si>
  <si>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</si>
  <si>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</si>
  <si>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</si>
  <si>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</si>
  <si>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</si>
  <si>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</si>
  <si>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</si>
  <si>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</si>
  <si>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</si>
  <si>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</si>
  <si>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</si>
  <si>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</si>
  <si>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</si>
  <si>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</si>
  <si>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</si>
  <si>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</si>
  <si>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</si>
  <si>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</si>
  <si>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</si>
  <si>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</si>
  <si>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</si>
  <si>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</si>
  <si>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</si>
  <si>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</si>
  <si>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</si>
  <si>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</si>
  <si>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</si>
  <si>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</si>
  <si>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</si>
  <si>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</si>
  <si>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</si>
  <si>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</si>
  <si>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</si>
  <si>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</si>
  <si>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</si>
  <si>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</si>
  <si>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</si>
  <si>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</si>
  <si>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</si>
  <si>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</si>
  <si>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</si>
  <si>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</si>
  <si>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</si>
  <si>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</si>
  <si>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</si>
  <si>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</si>
  <si>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</si>
  <si>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</si>
  <si>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</si>
  <si>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</si>
  <si>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</si>
  <si>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</si>
  <si>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</si>
  <si>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</si>
  <si>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</si>
  <si>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</si>
  <si>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</si>
  <si>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</si>
  <si>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</si>
  <si>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</si>
  <si>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</si>
  <si>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</si>
  <si>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</si>
  <si>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</si>
  <si>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</si>
  <si>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</si>
  <si>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</si>
  <si>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</si>
  <si>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</si>
  <si>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</si>
  <si>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</si>
  <si>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</si>
  <si>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</si>
  <si>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</si>
  <si>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</si>
  <si>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</si>
  <si>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</si>
  <si>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</si>
  <si>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</si>
  <si>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</si>
  <si>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</si>
  <si>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</si>
  <si>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</si>
  <si>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</si>
  <si>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</si>
  <si>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</si>
  <si>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</si>
  <si>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</si>
  <si>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</si>
  <si>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</si>
  <si>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</si>
  <si>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</si>
  <si>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</si>
  <si>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</si>
  <si>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</si>
  <si>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</si>
  <si>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</si>
  <si>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</si>
  <si>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</si>
  <si>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</si>
  <si>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</si>
  <si>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</si>
  <si>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</si>
  <si>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</si>
  <si>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</si>
  <si>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</si>
  <si>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</si>
  <si>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</si>
  <si>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</si>
  <si>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</si>
  <si>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</si>
  <si>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</si>
  <si>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</si>
  <si>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</si>
  <si>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</si>
  <si>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</si>
  <si>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</si>
  <si>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</si>
  <si>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</si>
  <si>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</si>
  <si>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</si>
  <si>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</si>
  <si>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</si>
  <si>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</si>
  <si>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</si>
  <si>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</si>
  <si>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</si>
  <si>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</si>
  <si>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</si>
  <si>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</si>
  <si>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</si>
  <si>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</si>
  <si>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</si>
  <si>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</si>
  <si>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</si>
  <si>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</si>
  <si>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</si>
  <si>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</si>
  <si>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</si>
  <si>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</si>
  <si>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</si>
  <si>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</si>
  <si>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</si>
  <si>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</si>
  <si>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</si>
  <si>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</si>
  <si>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</si>
  <si>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</si>
  <si>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</si>
  <si>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</si>
  <si>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</si>
  <si>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</si>
  <si>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</si>
  <si>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</si>
  <si>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</si>
  <si>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</si>
  <si>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</si>
  <si>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</si>
  <si>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</si>
  <si>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</si>
  <si>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</si>
  <si>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</si>
  <si>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</si>
  <si>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</si>
  <si>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</si>
  <si>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</si>
  <si>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</si>
  <si>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</si>
  <si>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</si>
  <si>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</si>
  <si>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</si>
  <si>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</si>
  <si>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</si>
  <si>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</si>
  <si>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</si>
  <si>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</si>
  <si>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</si>
  <si>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</si>
  <si>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</si>
  <si>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</si>
  <si>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</si>
  <si>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</si>
  <si>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</si>
  <si>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</si>
  <si>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</si>
  <si>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</si>
  <si>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</si>
  <si>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</si>
  <si>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</si>
  <si>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</si>
  <si>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</si>
  <si>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</si>
  <si>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</si>
  <si>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</si>
  <si>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</si>
  <si>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</si>
  <si>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</si>
  <si>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</si>
  <si>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</si>
  <si>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</si>
  <si>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</si>
  <si>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</si>
  <si>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</si>
  <si>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</si>
  <si>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</si>
  <si>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</si>
  <si>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</si>
  <si>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</si>
  <si>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</si>
  <si>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</si>
  <si>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</si>
  <si>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</si>
  <si>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</si>
  <si>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</si>
  <si>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</si>
  <si>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</si>
  <si>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</si>
  <si>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</si>
  <si>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</si>
  <si>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</si>
  <si>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</si>
  <si>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</si>
  <si>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</si>
  <si>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</si>
  <si>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</si>
  <si>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</si>
  <si>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</si>
  <si>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</si>
  <si>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</si>
  <si>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</si>
  <si>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</si>
  <si>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</si>
  <si>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</si>
  <si>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</si>
  <si>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</si>
  <si>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</si>
  <si>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</si>
  <si>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</si>
  <si>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</si>
  <si>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</si>
  <si>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</si>
  <si>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</si>
  <si>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</si>
  <si>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</si>
  <si>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</si>
  <si>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</si>
  <si>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</si>
  <si>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</si>
  <si>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</si>
  <si>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</si>
  <si>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</si>
  <si>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</si>
  <si>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</si>
  <si>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</si>
  <si>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</si>
  <si>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</si>
  <si>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</si>
  <si>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</si>
  <si>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</si>
  <si>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</si>
  <si>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</si>
  <si>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</si>
  <si>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</si>
  <si>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</si>
  <si>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</si>
  <si>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</si>
  <si>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</si>
  <si>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</si>
  <si>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</si>
  <si>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</si>
  <si>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</si>
  <si>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</si>
  <si>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</si>
  <si>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</si>
  <si>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</si>
  <si>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</si>
  <si>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</si>
  <si>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</si>
  <si>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</si>
  <si>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</si>
  <si>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</si>
  <si>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</si>
  <si>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</si>
  <si>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</si>
  <si>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</si>
  <si>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</si>
  <si>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</si>
  <si>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</si>
  <si>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</si>
  <si>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</si>
  <si>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</si>
  <si>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</si>
  <si>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</si>
  <si>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</si>
  <si>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</si>
  <si>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</si>
  <si>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</si>
  <si>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</si>
  <si>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</si>
  <si>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</si>
  <si>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</si>
  <si>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</si>
  <si>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</si>
  <si>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</si>
  <si>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</si>
  <si>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</si>
  <si>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</si>
  <si>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</si>
  <si>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</si>
  <si>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</si>
  <si>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</si>
  <si>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</si>
  <si>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</si>
  <si>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</si>
  <si>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</si>
  <si>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</si>
  <si>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</si>
  <si>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</si>
  <si>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</si>
  <si>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</si>
  <si>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</si>
  <si>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</si>
  <si>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</si>
  <si>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</si>
  <si>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</si>
  <si>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</si>
  <si>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</si>
  <si>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</si>
  <si>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</si>
  <si>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</si>
  <si>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</si>
  <si>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</si>
  <si>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</si>
  <si>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</si>
  <si>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</si>
  <si>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</si>
  <si>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</si>
  <si>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</si>
  <si>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</si>
  <si>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</si>
  <si>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</si>
  <si>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</si>
  <si>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</si>
  <si>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</si>
  <si>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</si>
  <si>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</si>
  <si>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</si>
  <si>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</si>
  <si>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</si>
  <si>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</si>
  <si>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</si>
  <si>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</si>
  <si>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</si>
  <si>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</si>
  <si>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</si>
  <si>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</si>
  <si>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</si>
  <si>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</si>
  <si>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</si>
  <si>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</si>
  <si>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</si>
  <si>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</si>
  <si>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</si>
  <si>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</si>
  <si>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</si>
  <si>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</si>
  <si>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</si>
  <si>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</si>
  <si>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</si>
  <si>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</si>
  <si>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</si>
  <si>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</si>
  <si>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</si>
  <si>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</si>
  <si>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</si>
  <si>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</si>
  <si>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</si>
  <si>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</si>
  <si>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</si>
  <si>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</si>
  <si>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</si>
  <si>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</si>
  <si>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</si>
  <si>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</si>
  <si>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</si>
  <si>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</si>
  <si>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</si>
  <si>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</si>
  <si>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</si>
  <si>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</si>
  <si>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</si>
  <si>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</si>
  <si>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</si>
  <si>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</si>
  <si>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</si>
  <si>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</si>
  <si>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</si>
  <si>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</si>
  <si>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</si>
  <si>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</si>
  <si>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</si>
  <si>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</si>
  <si>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</si>
  <si>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</si>
  <si>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</si>
  <si>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</si>
  <si>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</si>
  <si>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</si>
  <si>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</si>
  <si>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</si>
  <si>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</si>
  <si>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</si>
  <si>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</si>
  <si>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</si>
  <si>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</si>
  <si>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</si>
  <si>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</si>
  <si>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</si>
  <si>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</si>
  <si>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</si>
  <si>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</si>
  <si>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</si>
  <si>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</si>
  <si>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</si>
  <si>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</si>
  <si>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</si>
  <si>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</si>
  <si>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</si>
  <si>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</si>
  <si>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</si>
  <si>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</si>
  <si>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</si>
  <si>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</si>
  <si>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</si>
  <si>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</si>
  <si>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</si>
  <si>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</si>
  <si>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</si>
  <si>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</si>
  <si>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</si>
  <si>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</si>
  <si>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</si>
  <si>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</si>
  <si>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</si>
  <si>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</si>
  <si>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</si>
  <si>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</si>
  <si>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</si>
  <si>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</si>
  <si>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</si>
  <si>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</si>
  <si>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</si>
  <si>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</si>
  <si>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</si>
  <si>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</si>
  <si>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</si>
  <si>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</si>
  <si>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</si>
  <si>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</si>
  <si>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</si>
  <si>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</si>
  <si>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</si>
  <si>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</si>
  <si>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</si>
  <si>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</si>
  <si>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</si>
  <si>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</si>
  <si>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</si>
  <si>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</si>
  <si>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</si>
  <si>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</si>
  <si>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</si>
  <si>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</si>
  <si>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</si>
  <si>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</si>
  <si>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</si>
  <si>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</si>
  <si>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</si>
  <si>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</si>
  <si>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</si>
  <si>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</si>
  <si>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</si>
  <si>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</si>
  <si>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</si>
  <si>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</si>
  <si>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</si>
  <si>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</si>
  <si>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</si>
  <si>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</si>
  <si>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</si>
  <si>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</si>
  <si>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</si>
  <si>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</si>
  <si>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</si>
  <si>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</si>
  <si>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</si>
  <si>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</si>
  <si>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</si>
  <si>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</si>
  <si>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</si>
  <si>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</si>
  <si>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</si>
  <si>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</si>
  <si>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</si>
  <si>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</si>
  <si>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</si>
  <si>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</si>
  <si>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</si>
  <si>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</si>
  <si>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</si>
  <si>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</si>
  <si>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</si>
  <si>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</si>
  <si>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</si>
  <si>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</si>
  <si>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</si>
  <si>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</si>
  <si>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</si>
  <si>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</si>
  <si>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</si>
  <si>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</si>
  <si>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</si>
  <si>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</si>
  <si>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</si>
  <si>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</si>
  <si>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</si>
  <si>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</si>
  <si>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</si>
  <si>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</si>
  <si>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</si>
  <si>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</si>
  <si>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</si>
  <si>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</si>
  <si>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</si>
  <si>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</si>
  <si>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</si>
  <si>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</si>
  <si>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</si>
  <si>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</si>
  <si>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</si>
  <si>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</si>
  <si>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</si>
  <si>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</si>
  <si>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</si>
  <si>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</si>
  <si>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</si>
  <si>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</si>
  <si>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</si>
  <si>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</si>
  <si>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</si>
  <si>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</si>
  <si>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</si>
  <si>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</si>
  <si>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</si>
  <si>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</si>
  <si>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</si>
  <si>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</si>
  <si>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</si>
  <si>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</si>
  <si>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</si>
  <si>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</si>
  <si>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</si>
  <si>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</si>
  <si>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</si>
  <si>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</si>
  <si>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</si>
  <si>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</si>
  <si>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</si>
  <si>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</si>
  <si>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</si>
  <si>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</si>
  <si>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</si>
  <si>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</si>
  <si>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</si>
  <si>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</si>
  <si>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</si>
  <si>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</si>
  <si>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</si>
  <si>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</si>
  <si>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</si>
  <si>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</si>
  <si>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</si>
  <si>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</si>
  <si>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</si>
  <si>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</si>
  <si>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</si>
  <si>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</si>
  <si>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</si>
  <si>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</si>
  <si>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</si>
  <si>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</si>
  <si>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</si>
  <si>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</si>
  <si>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</si>
  <si>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</si>
  <si>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</si>
  <si>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</si>
  <si>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</si>
  <si>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</si>
  <si>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</si>
  <si>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</si>
  <si>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</si>
  <si>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</si>
  <si>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</si>
  <si>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</si>
  <si>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</si>
  <si>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</si>
  <si>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</si>
  <si>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</si>
  <si>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</si>
  <si>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</si>
  <si>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</si>
  <si>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</si>
  <si>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</si>
  <si>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</si>
  <si>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</si>
  <si>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</si>
  <si>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</si>
  <si>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</si>
  <si>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</si>
  <si>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</si>
  <si>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</si>
  <si>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</si>
  <si>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</si>
  <si>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</si>
  <si>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</si>
  <si>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</si>
  <si>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</si>
  <si>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</si>
  <si>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</si>
  <si>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</si>
  <si>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</si>
  <si>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</si>
  <si>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</si>
  <si>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</si>
  <si>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</si>
  <si>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</si>
  <si>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</si>
  <si>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</si>
  <si>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</si>
  <si>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</si>
  <si>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</si>
  <si>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</si>
  <si>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</si>
  <si>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</si>
  <si>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</si>
  <si>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</si>
  <si>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</si>
  <si>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</si>
  <si>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</si>
  <si>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</si>
  <si>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</si>
  <si>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</si>
  <si>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</si>
  <si>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</si>
  <si>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</si>
  <si>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</si>
  <si>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</si>
  <si>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</si>
  <si>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</si>
  <si>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</si>
  <si>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</si>
  <si>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</si>
  <si>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</si>
  <si>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</si>
  <si>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</si>
  <si>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</si>
  <si>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</si>
  <si>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</si>
  <si>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</si>
  <si>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</si>
  <si>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</si>
  <si>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</si>
  <si>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</si>
  <si>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</si>
  <si>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</si>
  <si>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</si>
  <si>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</si>
  <si>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</si>
  <si>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</si>
  <si>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</si>
  <si>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</si>
  <si>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</si>
  <si>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</si>
  <si>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</si>
  <si>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</si>
  <si>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</si>
  <si>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</si>
  <si>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</si>
  <si>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</si>
  <si>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</si>
  <si>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</si>
  <si>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</si>
  <si>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</si>
  <si>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</si>
  <si>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</si>
  <si>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</si>
  <si>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</si>
  <si>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</si>
  <si>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</si>
  <si>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</si>
  <si>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</si>
  <si>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</si>
  <si>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</si>
  <si>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</si>
  <si>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</si>
  <si>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</si>
  <si>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</si>
  <si>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</si>
  <si>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</si>
  <si>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</si>
  <si>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</si>
  <si>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</si>
  <si>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</si>
  <si>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</si>
  <si>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</si>
  <si>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</si>
  <si>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</si>
  <si>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</si>
  <si>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</si>
  <si>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</si>
  <si>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</si>
  <si>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</si>
  <si>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</si>
  <si>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</si>
  <si>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</si>
  <si>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</si>
  <si>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</si>
  <si>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</si>
  <si>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</si>
  <si>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</si>
  <si>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</si>
  <si>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</si>
  <si>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</si>
  <si>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</si>
  <si>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</si>
  <si>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</si>
  <si>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</si>
  <si>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</si>
  <si>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</si>
  <si>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</si>
  <si>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</si>
  <si>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</si>
  <si>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</si>
  <si>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</si>
  <si>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</si>
  <si>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</si>
  <si>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</si>
  <si>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</si>
  <si>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</si>
  <si>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</si>
  <si>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</si>
  <si>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</si>
  <si>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</si>
  <si>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</si>
  <si>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</si>
  <si>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</si>
  <si>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</si>
  <si>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</si>
  <si>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</si>
  <si>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</si>
  <si>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</si>
  <si>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</si>
  <si>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</si>
  <si>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</si>
  <si>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</si>
  <si>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</si>
  <si>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</si>
  <si>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</si>
  <si>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</si>
  <si>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</si>
  <si>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</si>
  <si>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</si>
  <si>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</si>
  <si>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</si>
  <si>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</si>
  <si>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</si>
  <si>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</si>
  <si>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</si>
  <si>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</si>
  <si>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</si>
  <si>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</si>
  <si>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</si>
  <si>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</si>
  <si>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</si>
  <si>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</si>
  <si>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</si>
  <si>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</si>
  <si>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</si>
  <si>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</si>
  <si>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</si>
  <si>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</si>
  <si>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</si>
  <si>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</si>
  <si>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</si>
  <si>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</si>
  <si>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</si>
  <si>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</si>
  <si>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</si>
  <si>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</si>
  <si>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</si>
  <si>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</si>
  <si>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</si>
  <si>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</si>
  <si>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</si>
  <si>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</si>
  <si>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</si>
  <si>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</si>
  <si>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</si>
  <si>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</si>
  <si>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</si>
  <si>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</si>
  <si>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</si>
  <si>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</si>
  <si>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</si>
  <si>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</si>
  <si>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</si>
  <si>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</si>
  <si>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</si>
  <si>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</si>
  <si>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</si>
  <si>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</si>
  <si>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</si>
  <si>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</si>
  <si>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</si>
  <si>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</si>
  <si>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</si>
  <si>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</si>
  <si>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</si>
  <si>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</si>
  <si>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</si>
  <si>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</si>
  <si>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</si>
  <si>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</si>
  <si>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</si>
  <si>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</si>
  <si>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</si>
  <si>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</si>
  <si>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</si>
  <si>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</si>
  <si>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</si>
  <si>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</si>
  <si>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</si>
  <si>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</si>
  <si>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</si>
  <si>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</si>
  <si>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</si>
  <si>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</si>
  <si>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</si>
  <si>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</si>
  <si>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</si>
  <si>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</si>
  <si>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</si>
  <si>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</si>
  <si>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</si>
  <si>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</si>
  <si>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</si>
  <si>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</si>
  <si>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</si>
  <si>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</si>
  <si>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</si>
  <si>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</si>
  <si>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</si>
  <si>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</si>
  <si>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</si>
  <si>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</si>
  <si>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</si>
  <si>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</si>
  <si>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</si>
  <si>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</si>
  <si>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</si>
  <si>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</si>
  <si>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</si>
  <si>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</si>
  <si>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</si>
  <si>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</si>
  <si>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</si>
  <si>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</si>
  <si>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</si>
  <si>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</si>
  <si>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</si>
  <si>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</si>
  <si>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</si>
  <si>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</si>
  <si>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</si>
  <si>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</si>
  <si>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</si>
  <si>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</si>
  <si>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</si>
  <si>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</si>
  <si>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</si>
  <si>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</si>
  <si>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</si>
  <si>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</si>
  <si>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</si>
  <si>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</si>
  <si>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</si>
  <si>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</si>
  <si>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</si>
  <si>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</si>
  <si>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</si>
  <si>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</si>
  <si>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</si>
  <si>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</si>
  <si>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</si>
  <si>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</si>
  <si>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</si>
  <si>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</si>
  <si>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</si>
  <si>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</si>
  <si>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</si>
  <si>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</si>
  <si>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</si>
  <si>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</si>
  <si>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</si>
  <si>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</si>
  <si>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</si>
  <si>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</si>
  <si>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</si>
  <si>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</si>
  <si>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</si>
  <si>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</si>
  <si>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</si>
  <si>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</si>
  <si>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</si>
  <si>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</si>
  <si>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</si>
  <si>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</si>
  <si>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</si>
  <si>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</si>
  <si>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</si>
  <si>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</si>
  <si>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</si>
  <si>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</si>
  <si>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</si>
  <si>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</si>
  <si>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</si>
  <si>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</si>
  <si>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</si>
  <si>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</si>
  <si>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</si>
  <si>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</si>
  <si>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</si>
  <si>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</si>
  <si>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</si>
  <si>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</si>
  <si>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</si>
  <si>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</si>
  <si>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</si>
  <si>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</si>
  <si>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</si>
  <si>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</si>
  <si>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</si>
  <si>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</si>
  <si>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</si>
  <si>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</si>
  <si>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</si>
  <si>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</si>
  <si>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</si>
  <si>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</si>
  <si>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</si>
  <si>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</si>
  <si>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</si>
  <si>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</si>
  <si>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</si>
  <si>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</si>
  <si>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</si>
  <si>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</si>
  <si>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</si>
  <si>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</si>
  <si>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</si>
  <si>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</si>
  <si>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</si>
  <si>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</si>
  <si>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</si>
  <si>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</si>
  <si>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</si>
  <si>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</si>
  <si>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</si>
  <si>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</si>
  <si>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</si>
  <si>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</si>
  <si>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</si>
  <si>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</si>
  <si>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</si>
  <si>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</si>
  <si>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</si>
  <si>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</si>
  <si>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</si>
  <si>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</si>
  <si>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</si>
  <si>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</si>
  <si>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</si>
  <si>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</si>
  <si>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</si>
  <si>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</si>
  <si>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</si>
  <si>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</si>
  <si>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</si>
  <si>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</si>
  <si>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</si>
  <si>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</si>
  <si>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</si>
  <si>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</si>
  <si>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</si>
  <si>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</si>
  <si>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</si>
  <si>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</si>
  <si>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</si>
  <si>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</si>
  <si>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</si>
  <si>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</si>
  <si>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</si>
  <si>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</si>
  <si>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</si>
  <si>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</si>
  <si>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</si>
  <si>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</si>
  <si>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</si>
  <si>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</si>
  <si>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</si>
  <si>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</si>
  <si>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</si>
  <si>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</si>
  <si>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</si>
  <si>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</si>
  <si>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</si>
  <si>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</si>
  <si>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</si>
  <si>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</si>
  <si>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</si>
  <si>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</si>
  <si>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</si>
  <si>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</si>
  <si>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</si>
  <si>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</si>
  <si>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</si>
  <si>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</si>
  <si>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</si>
  <si>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</si>
  <si>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</si>
  <si>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</si>
  <si>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</si>
  <si>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</si>
  <si>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</si>
  <si>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</si>
  <si>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</si>
  <si>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</si>
  <si>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</si>
  <si>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</si>
  <si>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</si>
  <si>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</si>
  <si>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</si>
  <si>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</si>
  <si>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</si>
  <si>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</si>
  <si>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</si>
  <si>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</si>
  <si>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</si>
  <si>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</si>
  <si>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</si>
  <si>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</si>
  <si>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</si>
  <si>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</si>
  <si>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</si>
  <si>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</si>
  <si>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</si>
  <si>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</si>
  <si>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</si>
  <si>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</si>
  <si>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</si>
  <si>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</si>
  <si>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</si>
  <si>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</si>
  <si>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</si>
  <si>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</si>
  <si>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</si>
  <si>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</si>
  <si>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</si>
  <si>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</si>
  <si>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</si>
  <si>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</si>
  <si>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</si>
  <si>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</si>
  <si>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</si>
  <si>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</si>
  <si>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</si>
  <si>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</si>
  <si>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</si>
  <si>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</si>
  <si>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</si>
  <si>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</si>
  <si>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</si>
  <si>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</si>
  <si>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</si>
  <si>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</si>
  <si>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</si>
  <si>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</si>
  <si>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</si>
  <si>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</si>
  <si>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</si>
  <si>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</si>
  <si>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</si>
  <si>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</si>
  <si>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</si>
  <si>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</si>
  <si>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</si>
  <si>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</si>
  <si>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</si>
  <si>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</si>
  <si>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</si>
  <si>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</si>
  <si>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</si>
  <si>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</si>
  <si>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</si>
  <si>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</si>
  <si>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</si>
  <si>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</si>
  <si>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</si>
  <si>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</si>
  <si>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</si>
  <si>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</si>
  <si>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</si>
  <si>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</si>
  <si>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</si>
  <si>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</si>
  <si>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</si>
  <si>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</si>
  <si>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</si>
  <si>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</si>
  <si>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</si>
  <si>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</si>
  <si>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</si>
  <si>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</si>
  <si>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</si>
  <si>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</si>
  <si>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</si>
  <si>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</si>
  <si>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</si>
  <si>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</si>
  <si>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</si>
  <si>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</si>
  <si>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</si>
  <si>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</si>
  <si>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</si>
  <si>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</si>
  <si>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</si>
  <si>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</si>
  <si>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</si>
  <si>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</si>
  <si>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</si>
  <si>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</si>
  <si>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</si>
  <si>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</si>
  <si>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</si>
  <si>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</si>
  <si>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</si>
  <si>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</si>
  <si>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</si>
  <si>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</si>
  <si>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</si>
  <si>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</si>
  <si>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</si>
  <si>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</si>
  <si>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</si>
  <si>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</si>
  <si>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</si>
  <si>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</si>
  <si>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</si>
  <si>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</si>
  <si>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</si>
  <si>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</si>
  <si>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</si>
  <si>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</si>
  <si>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</si>
  <si>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</si>
  <si>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</si>
  <si>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</si>
  <si>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</si>
  <si>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</si>
  <si>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</si>
  <si>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</si>
  <si>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</si>
  <si>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</si>
  <si>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</si>
  <si>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</si>
  <si>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</si>
  <si>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</si>
  <si>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</si>
  <si>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</si>
  <si>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</si>
  <si>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</si>
  <si>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</si>
  <si>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</si>
  <si>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</si>
  <si>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</si>
  <si>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</si>
  <si>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</si>
  <si>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</si>
  <si>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</si>
  <si>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</si>
  <si>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</si>
  <si>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</si>
  <si>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</si>
  <si>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</si>
  <si>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</si>
  <si>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</si>
  <si>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</si>
  <si>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</si>
  <si>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</si>
  <si>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</si>
  <si>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</si>
  <si>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</si>
  <si>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</si>
  <si>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</si>
  <si>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</si>
  <si>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</si>
  <si>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</si>
  <si>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</si>
  <si>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</si>
  <si>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</si>
  <si>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</si>
  <si>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</si>
  <si>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</si>
  <si>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</si>
  <si>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</si>
  <si>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</si>
  <si>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</si>
  <si>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</si>
  <si>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</si>
  <si>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</si>
  <si>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</si>
  <si>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</si>
  <si>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</si>
  <si>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</si>
  <si>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</si>
  <si>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</si>
  <si>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</si>
  <si>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</si>
  <si>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</si>
  <si>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</si>
  <si>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</si>
  <si>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</si>
  <si>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</si>
  <si>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</si>
  <si>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</si>
  <si>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</si>
  <si>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</si>
  <si>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</si>
  <si>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</si>
  <si>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</si>
  <si>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</si>
  <si>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</si>
  <si>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</si>
  <si>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</si>
  <si>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</si>
  <si>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</si>
  <si>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</si>
  <si>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</si>
  <si>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</si>
  <si>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</si>
  <si>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</si>
  <si>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</si>
  <si>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</si>
  <si>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</si>
  <si>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</si>
  <si>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</si>
  <si>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</si>
  <si>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</si>
  <si>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</si>
  <si>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</si>
  <si>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</si>
  <si>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</si>
  <si>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</si>
  <si>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</si>
  <si>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</si>
  <si>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</si>
  <si>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</si>
  <si>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</si>
  <si>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</si>
  <si>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</si>
  <si>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</si>
  <si>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</si>
  <si>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</si>
  <si>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</si>
  <si>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</si>
  <si>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</si>
  <si>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</si>
  <si>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</si>
  <si>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</si>
  <si>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</si>
  <si>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</si>
  <si>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</si>
  <si>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</si>
  <si>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</si>
  <si>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</si>
  <si>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</si>
  <si>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</si>
  <si>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</si>
  <si>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</si>
  <si>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</si>
  <si>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</si>
  <si>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</si>
  <si>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</si>
  <si>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</si>
  <si>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</si>
  <si>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</si>
  <si>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</si>
  <si>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</si>
  <si>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</si>
  <si>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</si>
  <si>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</si>
  <si>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</si>
  <si>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</si>
  <si>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</si>
  <si>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</si>
  <si>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</si>
  <si>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</si>
  <si>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</si>
  <si>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</si>
  <si>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</si>
  <si>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</si>
  <si>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</si>
  <si>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</si>
  <si>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</si>
  <si>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</si>
  <si>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</si>
  <si>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</si>
  <si>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</si>
  <si>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</si>
  <si>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</si>
  <si>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</si>
  <si>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</si>
  <si>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</si>
  <si>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</si>
  <si>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</si>
  <si>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</si>
  <si>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</si>
  <si>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</si>
  <si>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</si>
  <si>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</si>
  <si>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</si>
  <si>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</si>
  <si>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</si>
  <si>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</si>
  <si>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</si>
  <si>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</si>
  <si>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</si>
  <si>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</si>
  <si>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</si>
  <si>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</si>
  <si>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</si>
  <si>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</si>
  <si>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</si>
  <si>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</si>
  <si>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</si>
  <si>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</si>
  <si>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</si>
  <si>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</si>
  <si>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</si>
  <si>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</si>
  <si>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</si>
  <si>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</si>
  <si>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</si>
  <si>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</si>
  <si>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</si>
  <si>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</si>
  <si>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</si>
  <si>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</si>
  <si>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</si>
  <si>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</si>
  <si>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</si>
  <si>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</si>
  <si>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</si>
  <si>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</si>
  <si>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</si>
  <si>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</si>
  <si>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</si>
  <si>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</si>
  <si>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</si>
  <si>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</si>
  <si>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</si>
  <si>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</si>
  <si>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</si>
  <si>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</si>
  <si>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</si>
  <si>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</si>
  <si>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</si>
  <si>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</si>
  <si>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</si>
  <si>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</si>
  <si>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</si>
  <si>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</si>
  <si>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</si>
  <si>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</si>
  <si>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</si>
  <si>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</si>
  <si>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</si>
  <si>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</si>
  <si>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</si>
  <si>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</si>
  <si>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</si>
  <si>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</si>
  <si>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</si>
  <si>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</si>
  <si>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</si>
  <si>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</si>
  <si>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</si>
  <si>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</si>
  <si>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</si>
  <si>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</si>
  <si>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</si>
  <si>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</si>
  <si>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</si>
  <si>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</si>
  <si>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</si>
  <si>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</si>
  <si>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</si>
  <si>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</si>
  <si>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</si>
  <si>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</si>
  <si>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</si>
  <si>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</si>
  <si>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</si>
  <si>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</si>
  <si>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</si>
  <si>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</si>
  <si>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</si>
  <si>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</si>
  <si>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</si>
  <si>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</si>
  <si>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</si>
  <si>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</si>
  <si>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</si>
  <si>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</si>
  <si>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</si>
  <si>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</si>
  <si>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</si>
  <si>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</si>
  <si>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</si>
  <si>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</si>
  <si>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</si>
  <si>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</si>
  <si>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</si>
  <si>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</si>
  <si>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</si>
  <si>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</si>
  <si>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</si>
  <si>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</si>
  <si>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</si>
  <si>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</si>
  <si>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</si>
  <si>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</si>
  <si>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</si>
  <si>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</si>
  <si>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</si>
  <si>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</si>
  <si>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</si>
  <si>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</si>
  <si>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</si>
  <si>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</si>
  <si>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</si>
  <si>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</si>
  <si>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</si>
  <si>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</si>
  <si>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</si>
  <si>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</si>
  <si>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</si>
  <si>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</si>
  <si>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</si>
  <si>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</si>
  <si>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</si>
  <si>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</si>
  <si>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</si>
  <si>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</si>
  <si>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</si>
  <si>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</si>
  <si>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</si>
  <si>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</si>
  <si>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</si>
  <si>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</si>
  <si>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</si>
  <si>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</si>
  <si>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</si>
  <si>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</si>
  <si>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</si>
  <si>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</si>
  <si>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</si>
  <si>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</si>
  <si>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</si>
  <si>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</si>
  <si>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</si>
  <si>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</si>
  <si>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</si>
  <si>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</si>
  <si>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</si>
  <si>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</si>
  <si>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</si>
  <si>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</si>
  <si>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</si>
  <si>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</si>
  <si>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</si>
  <si>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</si>
  <si>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</si>
  <si>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</si>
  <si>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</si>
  <si>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</si>
  <si>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</si>
  <si>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</si>
  <si>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</si>
  <si>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</si>
  <si>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</si>
  <si>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</si>
  <si>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</si>
  <si>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</si>
  <si>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</si>
  <si>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</si>
  <si>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</si>
  <si>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</si>
  <si>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</si>
  <si>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</si>
  <si>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</si>
  <si>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</si>
  <si>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</si>
  <si>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</si>
  <si>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</si>
  <si>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</si>
  <si>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</si>
  <si>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</si>
  <si>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</si>
  <si>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</si>
  <si>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</si>
  <si>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</si>
  <si>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</si>
  <si>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</si>
  <si>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</si>
  <si>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</si>
  <si>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</si>
  <si>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</si>
  <si>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</si>
  <si>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</si>
  <si>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</si>
  <si>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</si>
  <si>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</si>
  <si>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</si>
  <si>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</si>
  <si>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</si>
  <si>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</si>
  <si>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</si>
  <si>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</si>
  <si>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</si>
  <si>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</si>
  <si>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</si>
  <si>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</si>
  <si>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</si>
  <si>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</si>
  <si>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</si>
  <si>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</si>
  <si>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</si>
  <si>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</si>
  <si>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</si>
  <si>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</si>
  <si>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</si>
  <si>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</si>
  <si>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</si>
  <si>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</si>
  <si>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</si>
  <si>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</si>
  <si>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</si>
  <si>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</si>
  <si>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</si>
  <si>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</si>
  <si>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</si>
  <si>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</si>
  <si>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</si>
  <si>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</si>
  <si>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</si>
  <si>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</si>
  <si>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</si>
  <si>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</si>
  <si>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</si>
  <si>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</si>
  <si>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</si>
  <si>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</si>
  <si>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</si>
  <si>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</si>
  <si>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</si>
  <si>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</si>
  <si>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</si>
  <si>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</si>
  <si>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</si>
  <si>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</si>
  <si>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</si>
  <si>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</si>
  <si>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</si>
  <si>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</si>
  <si>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</si>
  <si>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</si>
  <si>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</si>
  <si>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</si>
  <si>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</si>
  <si>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</si>
  <si>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</si>
  <si>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</si>
  <si>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</si>
  <si>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</si>
  <si>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</si>
  <si>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</si>
  <si>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</si>
  <si>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</si>
  <si>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</si>
  <si>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</si>
  <si>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</si>
  <si>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</si>
  <si>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</si>
  <si>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</si>
  <si>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</si>
  <si>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</si>
  <si>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</si>
  <si>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</si>
  <si>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</si>
  <si>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</si>
  <si>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</si>
  <si>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</si>
  <si>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</si>
  <si>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</si>
  <si>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</si>
  <si>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</si>
  <si>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</si>
  <si>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</si>
  <si>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</si>
  <si>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</si>
  <si>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</si>
  <si>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</si>
  <si>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</si>
  <si>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</si>
  <si>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</si>
  <si>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</si>
  <si>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</si>
  <si>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</si>
  <si>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</si>
  <si>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</si>
  <si>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</si>
  <si>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</si>
  <si>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</si>
  <si>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</si>
  <si>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</si>
  <si>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</si>
  <si>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</si>
  <si>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</si>
  <si>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</si>
  <si>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</si>
  <si>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</si>
  <si>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</si>
  <si>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</si>
  <si>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</si>
  <si>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</si>
  <si>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</si>
  <si>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</si>
  <si>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</si>
  <si>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</si>
  <si>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</si>
  <si>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</si>
  <si>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</si>
  <si>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</si>
  <si>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</si>
  <si>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</si>
  <si>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</si>
  <si>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</si>
  <si>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</si>
  <si>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</si>
  <si>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</si>
  <si>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</si>
  <si>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</si>
  <si>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</si>
  <si>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</si>
  <si>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</si>
  <si>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</si>
  <si>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</si>
  <si>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</si>
  <si>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</si>
  <si>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</si>
  <si>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</si>
  <si>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</si>
  <si>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</si>
  <si>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</si>
  <si>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</si>
  <si>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</si>
  <si>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</si>
  <si>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</si>
  <si>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</si>
  <si>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</si>
  <si>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</si>
  <si>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</si>
  <si>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</si>
  <si>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</si>
  <si>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</si>
  <si>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</si>
  <si>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</si>
  <si>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</si>
  <si>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</si>
  <si>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</si>
  <si>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</si>
  <si>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</si>
  <si>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</si>
  <si>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</si>
  <si>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</si>
  <si>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</si>
  <si>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</si>
  <si>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</si>
  <si>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</si>
  <si>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</si>
  <si>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</si>
  <si>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</si>
  <si>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</si>
  <si>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</si>
  <si>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</si>
  <si>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</si>
  <si>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</si>
  <si>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</si>
  <si>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</si>
  <si>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</si>
  <si>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</si>
  <si>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</si>
  <si>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</si>
  <si>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</si>
  <si>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</si>
  <si>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</si>
  <si>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</si>
  <si>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</si>
  <si>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</si>
  <si>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</si>
  <si>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</si>
  <si>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</si>
  <si>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</si>
  <si>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</si>
  <si>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</si>
  <si>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</si>
  <si>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</si>
  <si>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</si>
  <si>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</si>
  <si>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</si>
  <si>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</si>
  <si>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</si>
  <si>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</si>
  <si>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</si>
  <si>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</si>
  <si>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</si>
  <si>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</si>
  <si>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</si>
  <si>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</si>
  <si>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</si>
  <si>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</si>
  <si>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</si>
  <si>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</si>
  <si>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</si>
  <si>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</si>
  <si>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</si>
  <si>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</si>
  <si>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</si>
  <si>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</si>
  <si>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</si>
  <si>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</si>
  <si>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</si>
  <si>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</si>
  <si>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</si>
  <si>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</si>
  <si>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</si>
  <si>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</si>
  <si>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</si>
  <si>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</si>
  <si>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</si>
  <si>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</si>
  <si>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</si>
  <si>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</si>
  <si>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</si>
  <si>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</si>
  <si>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</si>
  <si>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</si>
  <si>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</si>
  <si>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</si>
  <si>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</si>
  <si>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</si>
  <si>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</si>
  <si>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</si>
  <si>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</si>
  <si>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</si>
  <si>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</si>
  <si>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</si>
  <si>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</si>
  <si>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</si>
  <si>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</si>
  <si>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</si>
  <si>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</si>
  <si>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</si>
  <si>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</si>
  <si>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</si>
  <si>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</si>
  <si>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</si>
  <si>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</si>
  <si>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</si>
  <si>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</si>
  <si>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</si>
  <si>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</si>
  <si>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</si>
  <si>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</si>
  <si>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</si>
  <si>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</si>
  <si>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</si>
  <si>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</si>
  <si>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</si>
  <si>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</si>
  <si>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</si>
  <si>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</si>
  <si>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</si>
  <si>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</si>
  <si>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</si>
  <si>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</si>
  <si>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</si>
  <si>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</si>
  <si>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</si>
  <si>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</si>
  <si>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</si>
  <si>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</si>
  <si>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</si>
  <si>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</si>
  <si>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</si>
  <si>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</si>
  <si>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</si>
  <si>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</si>
  <si>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</si>
  <si>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</si>
  <si>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</si>
  <si>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</si>
  <si>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</si>
  <si>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</si>
  <si>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</si>
  <si>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</si>
  <si>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</si>
  <si>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</si>
  <si>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</si>
  <si>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</si>
  <si>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</si>
  <si>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</si>
  <si>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</si>
  <si>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</si>
  <si>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</si>
  <si>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</si>
  <si>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</si>
  <si>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</si>
  <si>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</si>
  <si>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</si>
  <si>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</si>
  <si>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</si>
  <si>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</si>
  <si>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</si>
  <si>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</si>
  <si>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</si>
  <si>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</si>
  <si>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</si>
  <si>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</si>
  <si>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</si>
  <si>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</si>
  <si>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</si>
  <si>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</si>
  <si>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</si>
  <si>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</si>
  <si>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</si>
  <si>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</si>
  <si>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</si>
  <si>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</si>
  <si>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</si>
  <si>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</si>
  <si>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</si>
  <si>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</si>
  <si>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</si>
  <si>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</si>
  <si>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</si>
  <si>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</si>
  <si>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</si>
  <si>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</si>
  <si>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</si>
  <si>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</si>
  <si>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</si>
  <si>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</si>
  <si>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</si>
  <si>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</si>
  <si>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</si>
  <si>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</si>
  <si>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</si>
  <si>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</si>
  <si>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</si>
  <si>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</si>
  <si>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</si>
  <si>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</si>
  <si>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</si>
  <si>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</si>
  <si>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</si>
  <si>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</si>
  <si>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</si>
  <si>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</si>
  <si>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</si>
  <si>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</si>
  <si>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</si>
  <si>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</si>
  <si>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</si>
  <si>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</si>
  <si>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</si>
  <si>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</si>
  <si>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</si>
  <si>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</si>
  <si>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</si>
  <si>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</si>
  <si>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</si>
  <si>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</si>
  <si>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</si>
  <si>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</si>
  <si>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</si>
  <si>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</si>
  <si>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</si>
  <si>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</si>
  <si>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</si>
  <si>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</si>
  <si>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</si>
  <si>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</si>
  <si>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</si>
  <si>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</si>
  <si>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</si>
  <si>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</si>
  <si>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</si>
  <si>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</si>
  <si>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</si>
  <si>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</si>
  <si>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</si>
  <si>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</si>
  <si>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</si>
  <si>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</si>
  <si>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</si>
  <si>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</si>
  <si>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</si>
  <si>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</si>
  <si>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</si>
  <si>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</si>
  <si>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</si>
  <si>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</si>
  <si>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</si>
  <si>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</si>
  <si>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</si>
  <si>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</si>
  <si>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</si>
  <si>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</si>
  <si>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</si>
  <si>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</si>
  <si>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</si>
  <si>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</si>
  <si>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</si>
  <si>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</si>
  <si>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</si>
  <si>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</si>
  <si>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</si>
  <si>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</si>
  <si>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</si>
  <si>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</si>
  <si>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</si>
  <si>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</si>
  <si>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</si>
  <si>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</si>
  <si>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</si>
  <si>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</si>
  <si>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</si>
  <si>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</si>
  <si>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</si>
  <si>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</si>
  <si>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</si>
  <si>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</si>
  <si>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</si>
  <si>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</si>
  <si>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</si>
  <si>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</si>
  <si>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</si>
  <si>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</si>
  <si>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</si>
  <si>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</si>
  <si>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</si>
  <si>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</si>
  <si>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</si>
  <si>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</si>
  <si>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</si>
  <si>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</si>
  <si>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</si>
  <si>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</si>
  <si>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</si>
  <si>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</si>
  <si>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</si>
  <si>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</si>
  <si>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</si>
  <si>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</si>
  <si>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</si>
  <si>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</si>
  <si>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</si>
  <si>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</si>
  <si>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</si>
  <si>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</si>
  <si>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</si>
  <si>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</si>
  <si>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</si>
  <si>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</si>
  <si>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</si>
  <si>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</si>
  <si>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</si>
  <si>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</si>
  <si>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</si>
  <si>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</si>
  <si>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</si>
  <si>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</si>
  <si>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</si>
  <si>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</si>
  <si>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</si>
  <si>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</si>
  <si>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</si>
  <si>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</si>
  <si>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</si>
  <si>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</si>
  <si>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</si>
  <si>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</si>
  <si>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</si>
  <si>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</si>
  <si>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</si>
  <si>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</si>
  <si>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</si>
  <si>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</si>
  <si>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</si>
  <si>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</si>
  <si>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</si>
  <si>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</si>
  <si>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</si>
  <si>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</si>
  <si>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</si>
  <si>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</si>
  <si>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</si>
  <si>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</si>
  <si>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</si>
  <si>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</si>
  <si>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</si>
  <si>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</si>
  <si>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</si>
  <si>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</si>
  <si>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</si>
  <si>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</si>
  <si>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</si>
  <si>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</si>
  <si>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</si>
  <si>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</si>
  <si>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</si>
  <si>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</si>
  <si>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</si>
  <si>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</si>
  <si>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</si>
  <si>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</si>
  <si>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</si>
  <si>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</si>
  <si>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</si>
  <si>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</si>
  <si>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</si>
  <si>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</si>
  <si>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</si>
  <si>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</si>
  <si>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</si>
  <si>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</si>
  <si>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</si>
  <si>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</si>
  <si>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</si>
  <si>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</si>
  <si>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</si>
  <si>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</si>
  <si>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</si>
  <si>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</si>
  <si>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</si>
  <si>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</si>
  <si>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</si>
  <si>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</si>
  <si>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</si>
  <si>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</si>
  <si>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</si>
  <si>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</si>
  <si>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</si>
  <si>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</si>
  <si>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</si>
  <si>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</si>
  <si>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</si>
  <si>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</si>
  <si>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</si>
  <si>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</si>
  <si>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</si>
  <si>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</si>
  <si>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</si>
  <si>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</si>
  <si>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</si>
  <si>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</si>
  <si>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</si>
  <si>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</si>
  <si>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</si>
  <si>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</si>
  <si>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</si>
  <si>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</si>
  <si>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</si>
  <si>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</si>
  <si>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</si>
  <si>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</si>
  <si>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</si>
  <si>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</si>
  <si>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</si>
  <si>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</si>
  <si>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</si>
  <si>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</si>
  <si>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</si>
  <si>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</si>
  <si>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</si>
  <si>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</si>
  <si>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</si>
  <si>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</si>
  <si>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</si>
  <si>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</si>
  <si>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</si>
  <si>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</si>
  <si>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</si>
  <si>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</si>
  <si>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</si>
  <si>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</si>
  <si>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</si>
  <si>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</si>
  <si>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</si>
  <si>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</si>
  <si>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</si>
  <si>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</si>
  <si>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</si>
  <si>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</si>
  <si>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</si>
  <si>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</si>
  <si>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</si>
  <si>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</si>
  <si>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</si>
  <si>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</si>
  <si>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</si>
  <si>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</si>
  <si>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</si>
  <si>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</si>
  <si>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</si>
  <si>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</si>
  <si>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</si>
  <si>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</si>
  <si>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</si>
  <si>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</si>
  <si>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</si>
  <si>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</si>
  <si>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</si>
  <si>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</si>
  <si>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</si>
  <si>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</si>
  <si>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</si>
  <si>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</si>
  <si>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</si>
  <si>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</si>
  <si>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</si>
  <si>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</si>
  <si>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</si>
  <si>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</si>
  <si>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</si>
  <si>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</si>
  <si>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</si>
  <si>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</si>
  <si>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</si>
  <si>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</si>
  <si>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</si>
  <si>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</si>
  <si>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</si>
  <si>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</si>
  <si>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</si>
  <si>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</si>
  <si>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</si>
  <si>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</si>
  <si>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</si>
  <si>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</si>
  <si>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</si>
  <si>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</si>
  <si>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</si>
  <si>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</si>
  <si>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</si>
  <si>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</si>
  <si>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</si>
  <si>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</si>
  <si>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</si>
  <si>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</si>
  <si>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</si>
  <si>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</si>
  <si>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</si>
  <si>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</si>
  <si>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</si>
  <si>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</si>
  <si>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</si>
  <si>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</si>
  <si>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</si>
  <si>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</si>
  <si>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</si>
  <si>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</si>
  <si>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</si>
  <si>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</si>
  <si>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</si>
  <si>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</si>
  <si>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</si>
  <si>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</si>
  <si>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</si>
  <si>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</si>
  <si>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</si>
  <si>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</si>
  <si>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</si>
  <si>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</si>
  <si>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</si>
  <si>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</si>
  <si>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</si>
  <si>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</si>
  <si>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</si>
  <si>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</si>
  <si>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</si>
  <si>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</si>
  <si>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</si>
  <si>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</si>
  <si>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</si>
  <si>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</si>
  <si>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</si>
  <si>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</si>
  <si>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</si>
  <si>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</si>
  <si>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</si>
  <si>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</si>
  <si>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</si>
  <si>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</si>
  <si>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</si>
  <si>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</si>
  <si>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</si>
  <si>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</si>
  <si>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</si>
  <si>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</si>
  <si>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</si>
  <si>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</si>
  <si>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</si>
  <si>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</si>
  <si>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</si>
  <si>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</si>
  <si>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</si>
  <si>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</si>
  <si>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</si>
  <si>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</si>
  <si>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</si>
  <si>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</si>
  <si>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</si>
  <si>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</si>
  <si>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</si>
  <si>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</si>
  <si>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</si>
  <si>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</si>
  <si>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</si>
  <si>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</si>
  <si>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</si>
  <si>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</si>
  <si>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</si>
  <si>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</si>
  <si>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</si>
  <si>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</si>
  <si>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</si>
  <si>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</si>
  <si>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</si>
  <si>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</si>
  <si>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</si>
  <si>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</si>
  <si>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</si>
  <si>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</si>
  <si>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</si>
  <si>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</si>
  <si>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</si>
  <si>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</si>
  <si>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</si>
  <si>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</si>
  <si>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</si>
  <si>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</si>
  <si>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</si>
  <si>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</si>
  <si>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</si>
  <si>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</si>
  <si>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</si>
  <si>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</si>
  <si>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</si>
  <si>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</si>
  <si>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</si>
  <si>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</si>
  <si>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</si>
  <si>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</si>
  <si>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</si>
  <si>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</si>
  <si>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</si>
  <si>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</si>
  <si>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</si>
  <si>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</si>
  <si>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</si>
  <si>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</si>
  <si>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</si>
  <si>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</si>
  <si>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</si>
  <si>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</si>
  <si>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</si>
  <si>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</si>
  <si>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</si>
  <si>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</si>
  <si>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</si>
  <si>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</si>
  <si>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</si>
  <si>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</si>
  <si>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</si>
  <si>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</si>
  <si>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</si>
  <si>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</si>
  <si>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</si>
  <si>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</si>
  <si>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</si>
  <si>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</si>
  <si>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</si>
  <si>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</si>
  <si>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</si>
  <si>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</si>
  <si>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</si>
  <si>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</si>
  <si>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</si>
  <si>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</si>
  <si>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</si>
  <si>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</si>
  <si>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</si>
  <si>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</si>
  <si>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</si>
  <si>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</si>
  <si>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</si>
  <si>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</si>
  <si>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</si>
  <si>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</si>
  <si>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</si>
  <si>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</si>
  <si>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</si>
  <si>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</si>
  <si>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</si>
  <si>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</si>
  <si>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</si>
  <si>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</si>
  <si>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</si>
  <si>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</si>
  <si>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</si>
  <si>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</si>
  <si>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</si>
  <si>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</si>
  <si>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</si>
  <si>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</si>
  <si>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</si>
  <si>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</si>
  <si>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</si>
  <si>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</si>
  <si>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</si>
  <si>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</si>
  <si>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</si>
  <si>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</si>
  <si>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</si>
  <si>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</si>
  <si>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</si>
  <si>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</si>
  <si>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</si>
  <si>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</si>
  <si>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</si>
  <si>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</si>
  <si>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</si>
  <si>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</si>
  <si>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</si>
  <si>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</si>
  <si>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</si>
  <si>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</si>
  <si>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</si>
  <si>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</si>
  <si>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</si>
  <si>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</si>
  <si>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</si>
  <si>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</si>
  <si>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</si>
  <si>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</si>
  <si>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</si>
  <si>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</si>
  <si>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</si>
  <si>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</si>
  <si>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</si>
  <si>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</si>
  <si>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</si>
  <si>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</si>
  <si>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</si>
  <si>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</si>
  <si>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</si>
  <si>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</si>
  <si>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</si>
  <si>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</si>
  <si>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</si>
  <si>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</si>
  <si>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</si>
  <si>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</si>
  <si>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</si>
  <si>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</si>
  <si>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</si>
  <si>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</si>
  <si>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</si>
  <si>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</si>
  <si>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</si>
  <si>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</si>
  <si>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</si>
  <si>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</si>
  <si>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</si>
  <si>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</si>
  <si>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</si>
  <si>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</si>
  <si>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</si>
  <si>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</si>
  <si>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</si>
  <si>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</si>
  <si>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</si>
  <si>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</si>
  <si>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</si>
  <si>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</si>
  <si>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</si>
  <si>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</si>
  <si>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</si>
  <si>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</si>
  <si>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</si>
  <si>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</si>
  <si>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</si>
  <si>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</si>
  <si>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</si>
  <si>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</si>
  <si>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</si>
  <si>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</si>
  <si>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</si>
  <si>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</si>
  <si>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</si>
  <si>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</si>
  <si>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</si>
  <si>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</si>
  <si>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</si>
  <si>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</si>
  <si>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</si>
  <si>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</si>
  <si>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</si>
  <si>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</si>
  <si>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</si>
  <si>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</si>
  <si>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</si>
  <si>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</si>
  <si>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</si>
  <si>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</si>
  <si>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</si>
  <si>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</si>
  <si>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</si>
  <si>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</si>
  <si>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</si>
  <si>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</si>
  <si>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</si>
  <si>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</si>
  <si>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</si>
  <si>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</si>
  <si>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</si>
  <si>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</si>
  <si>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</si>
  <si>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</si>
  <si>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</si>
  <si>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</si>
  <si>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</si>
  <si>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</si>
  <si>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</si>
  <si>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</si>
  <si>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</si>
  <si>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</si>
  <si>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</si>
  <si>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</si>
  <si>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</si>
  <si>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</si>
  <si>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</si>
  <si>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</si>
  <si>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</si>
  <si>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</si>
  <si>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</si>
  <si>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</si>
  <si>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</si>
  <si>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</si>
  <si>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</si>
  <si>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</si>
  <si>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</si>
  <si>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</si>
  <si>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</si>
  <si>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</si>
  <si>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</si>
  <si>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</si>
  <si>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</si>
  <si>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</si>
  <si>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</si>
  <si>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</si>
  <si>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</si>
  <si>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</si>
  <si>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</si>
  <si>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</si>
  <si>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</si>
  <si>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</si>
  <si>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</si>
  <si>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</si>
  <si>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</si>
  <si>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</si>
  <si>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</si>
  <si>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</si>
  <si>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</si>
  <si>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</si>
  <si>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</si>
  <si>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</si>
  <si>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</si>
  <si>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</si>
  <si>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</si>
  <si>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</si>
  <si>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</si>
  <si>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</si>
  <si>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</si>
  <si>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</si>
  <si>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</si>
  <si>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</si>
  <si>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</si>
  <si>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</si>
  <si>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</si>
  <si>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</si>
  <si>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</si>
  <si>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</si>
  <si>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</si>
  <si>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</si>
  <si>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</si>
  <si>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</si>
  <si>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</si>
  <si>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</si>
  <si>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</si>
  <si>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</si>
  <si>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</si>
  <si>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</si>
  <si>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</si>
  <si>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</si>
  <si>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</si>
  <si>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</si>
  <si>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</si>
  <si>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</si>
  <si>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</si>
  <si>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</si>
  <si>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</si>
  <si>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</si>
  <si>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</si>
  <si>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</si>
  <si>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</si>
  <si>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</si>
  <si>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</si>
  <si>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</si>
  <si>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</si>
  <si>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</si>
  <si>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</si>
  <si>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</si>
  <si>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</si>
  <si>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</si>
  <si>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</si>
  <si>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</si>
  <si>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</si>
  <si>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</si>
  <si>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</si>
  <si>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</si>
  <si>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</si>
  <si>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</si>
  <si>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</si>
  <si>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</si>
  <si>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</si>
  <si>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</si>
  <si>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</si>
  <si>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</si>
  <si>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</si>
  <si>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</si>
  <si>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</si>
  <si>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</si>
  <si>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</si>
  <si>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</si>
  <si>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</si>
  <si>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</si>
  <si>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</si>
  <si>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</si>
  <si>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</si>
  <si>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</si>
  <si>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</si>
  <si>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</si>
  <si>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</si>
  <si>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</si>
  <si>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</si>
  <si>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</si>
  <si>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</si>
  <si>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</si>
  <si>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</si>
  <si>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</si>
  <si>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</si>
  <si>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</si>
  <si>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</si>
  <si>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</si>
  <si>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</si>
  <si>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</si>
  <si>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</si>
  <si>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</si>
  <si>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</si>
  <si>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</si>
  <si>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</si>
  <si>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</si>
  <si>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</si>
  <si>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</si>
  <si>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</si>
  <si>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</si>
  <si>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</si>
  <si>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</si>
  <si>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</si>
  <si>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</si>
  <si>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</si>
  <si>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</si>
  <si>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</si>
  <si>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</si>
  <si>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</si>
  <si>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</si>
  <si>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</si>
  <si>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</si>
  <si>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</si>
  <si>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</si>
  <si>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</si>
  <si>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</si>
  <si>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</si>
  <si>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</si>
  <si>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</si>
  <si>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</si>
  <si>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</si>
  <si>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</si>
  <si>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</si>
  <si>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</si>
  <si>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</si>
  <si>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</si>
  <si>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</si>
  <si>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</si>
  <si>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</si>
  <si>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</si>
  <si>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</si>
  <si>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</si>
  <si>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</si>
  <si>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</si>
  <si>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</si>
  <si>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</si>
  <si>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</si>
  <si>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</si>
  <si>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</si>
  <si>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</si>
  <si>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</si>
  <si>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</si>
  <si>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</si>
  <si>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</si>
  <si>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</si>
  <si>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</si>
  <si>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</si>
  <si>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</si>
  <si>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</si>
  <si>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</si>
  <si>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</si>
  <si>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</si>
  <si>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</si>
  <si>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</si>
  <si>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</si>
  <si>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</si>
  <si>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</si>
  <si>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</si>
  <si>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</si>
  <si>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</si>
  <si>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</si>
  <si>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</si>
  <si>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</si>
  <si>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</si>
  <si>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</si>
  <si>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</si>
  <si>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</si>
  <si>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</si>
  <si>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</si>
  <si>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</si>
  <si>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</si>
  <si>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</si>
  <si>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</si>
  <si>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</si>
  <si>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</si>
  <si>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</si>
  <si>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</si>
  <si>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</si>
  <si>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</si>
  <si>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</si>
  <si>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</si>
  <si>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</si>
  <si>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</si>
  <si>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</si>
  <si>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</si>
  <si>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</si>
  <si>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</si>
  <si>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</si>
  <si>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</si>
  <si>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</si>
  <si>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</si>
  <si>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</si>
  <si>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</si>
  <si>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</si>
  <si>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</si>
  <si>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</si>
  <si>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</si>
  <si>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</si>
  <si>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</si>
  <si>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</si>
  <si>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</si>
  <si>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</si>
  <si>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</si>
  <si>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</si>
  <si>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</si>
  <si>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</si>
  <si>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</si>
  <si>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</si>
  <si>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</si>
  <si>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</si>
  <si>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</si>
  <si>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</si>
  <si>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</si>
  <si>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</si>
  <si>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</si>
  <si>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</si>
  <si>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</si>
  <si>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</si>
  <si>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</si>
  <si>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</si>
  <si>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</si>
  <si>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</si>
  <si>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</si>
  <si>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</si>
  <si>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</si>
  <si>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</si>
  <si>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</si>
  <si>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</si>
  <si>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</si>
  <si>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</si>
  <si>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</si>
  <si>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</si>
  <si>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</si>
  <si>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</si>
  <si>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</si>
  <si>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</si>
  <si>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</si>
  <si>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</si>
  <si>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</si>
  <si>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</si>
  <si>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</si>
  <si>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</si>
  <si>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</si>
  <si>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</si>
  <si>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</si>
  <si>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</si>
  <si>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</si>
  <si>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</si>
  <si>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</si>
  <si>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</si>
  <si>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</si>
  <si>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</si>
  <si>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</si>
  <si>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</si>
  <si>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</si>
  <si>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</si>
  <si>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</si>
  <si>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</si>
  <si>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</si>
  <si>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</si>
  <si>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</si>
  <si>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</si>
  <si>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</si>
  <si>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</si>
  <si>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</si>
  <si>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</si>
  <si>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</si>
  <si>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</si>
  <si>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</si>
  <si>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</si>
  <si>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</si>
  <si>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</si>
  <si>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</si>
  <si>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</si>
  <si>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</si>
  <si>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</si>
  <si>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</si>
  <si>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</si>
  <si>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</si>
  <si>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</si>
  <si>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</si>
  <si>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</si>
  <si>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</si>
  <si>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</si>
  <si>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</si>
  <si>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</si>
  <si>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</si>
  <si>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</si>
  <si>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</si>
  <si>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</si>
  <si>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</si>
  <si>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</si>
  <si>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</si>
  <si>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</si>
  <si>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</si>
  <si>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</si>
  <si>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</si>
  <si>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</si>
  <si>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</si>
  <si>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</si>
  <si>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</si>
  <si>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</si>
  <si>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</si>
  <si>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</si>
  <si>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</si>
  <si>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</si>
  <si>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</si>
  <si>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</si>
  <si>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</si>
  <si>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</si>
  <si>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</si>
  <si>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</si>
  <si>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</si>
  <si>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</si>
  <si>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</si>
  <si>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</si>
  <si>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</si>
  <si>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</si>
  <si>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</si>
  <si>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</si>
  <si>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</si>
  <si>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</si>
  <si>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</si>
  <si>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</si>
  <si>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</si>
  <si>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</si>
  <si>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</si>
  <si>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</si>
  <si>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</si>
  <si>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</si>
  <si>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</si>
  <si>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</si>
  <si>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</si>
  <si>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</si>
  <si>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</si>
  <si>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</si>
  <si>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</si>
  <si>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</si>
  <si>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</si>
  <si>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</si>
  <si>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</si>
  <si>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</si>
  <si>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</si>
  <si>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</si>
  <si>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</si>
  <si>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</si>
  <si>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</si>
  <si>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</si>
  <si>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</si>
  <si>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</si>
  <si>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</si>
  <si>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</si>
  <si>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</si>
  <si>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</si>
  <si>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</si>
  <si>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</si>
  <si>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</si>
  <si>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</si>
  <si>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</si>
  <si>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</si>
  <si>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</si>
  <si>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</si>
  <si>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</si>
  <si>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</si>
  <si>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</si>
  <si>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</si>
  <si>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</si>
  <si>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</si>
  <si>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</si>
  <si>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</si>
  <si>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</si>
  <si>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</si>
  <si>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</si>
  <si>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</si>
  <si>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</si>
  <si>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</si>
  <si>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</si>
  <si>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</si>
  <si>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</si>
  <si>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</si>
  <si>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</si>
  <si>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</si>
  <si>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</si>
  <si>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</si>
  <si>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</si>
  <si>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</si>
  <si>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</si>
  <si>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</si>
  <si>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</si>
  <si>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</si>
  <si>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</si>
  <si>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</si>
  <si>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</si>
  <si>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</si>
  <si>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</si>
  <si>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</si>
  <si>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</si>
  <si>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</si>
  <si>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</si>
  <si>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</si>
  <si>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</si>
  <si>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</si>
  <si>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</si>
  <si>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</si>
  <si>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</si>
  <si>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</si>
  <si>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</si>
  <si>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</si>
  <si>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</si>
  <si>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</si>
  <si>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</si>
  <si>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</si>
  <si>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</si>
  <si>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</si>
  <si>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</si>
  <si>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</si>
  <si>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</si>
  <si>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</si>
  <si>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</si>
  <si>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</si>
  <si>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</si>
  <si>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</si>
  <si>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</si>
  <si>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</si>
  <si>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</si>
  <si>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</si>
  <si>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</si>
  <si>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</si>
  <si>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</si>
  <si>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</si>
  <si>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</si>
  <si>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</si>
  <si>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</si>
  <si>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</si>
  <si>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</si>
  <si>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</si>
  <si>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</si>
  <si>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</si>
  <si>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</si>
  <si>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</si>
  <si>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</si>
  <si>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</si>
  <si>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</si>
  <si>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</si>
  <si>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</si>
  <si>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</si>
  <si>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</si>
  <si>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</si>
  <si>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</si>
  <si>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</si>
  <si>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</si>
  <si>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</si>
  <si>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</si>
  <si>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</si>
  <si>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</si>
  <si>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</si>
  <si>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</si>
  <si>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</si>
  <si>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</si>
  <si>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</si>
  <si>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</si>
  <si>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</si>
  <si>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</si>
  <si>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</si>
  <si>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</si>
  <si>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</si>
  <si>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</si>
  <si>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</si>
  <si>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</si>
  <si>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</si>
  <si>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</si>
  <si>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</si>
  <si>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</si>
  <si>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</si>
  <si>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</si>
  <si>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</si>
  <si>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</si>
  <si>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</si>
  <si>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</si>
  <si>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</si>
  <si>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</si>
  <si>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</si>
  <si>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</si>
  <si>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</si>
  <si>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</si>
  <si>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</si>
  <si>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</si>
  <si>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</si>
  <si>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</si>
  <si>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</si>
  <si>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</si>
  <si>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</si>
  <si>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</si>
  <si>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</si>
  <si>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</si>
  <si>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</si>
  <si>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</si>
  <si>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</si>
  <si>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</si>
  <si>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</si>
  <si>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</si>
  <si>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</si>
  <si>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</si>
  <si>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</si>
  <si>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</si>
  <si>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</si>
  <si>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</si>
  <si>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</si>
  <si>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</si>
  <si>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</si>
  <si>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</si>
  <si>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</si>
  <si>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</si>
  <si>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</si>
  <si>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</si>
  <si>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</si>
  <si>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</si>
  <si>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</si>
  <si>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</si>
  <si>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</si>
  <si>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</si>
  <si>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</si>
  <si>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</si>
  <si>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</si>
  <si>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</si>
  <si>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</si>
  <si>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</si>
  <si>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</si>
  <si>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</si>
  <si>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</si>
  <si>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</si>
  <si>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</si>
  <si>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</si>
  <si>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</si>
  <si>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</si>
  <si>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</si>
  <si>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</si>
  <si>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</si>
  <si>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</si>
  <si>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</si>
  <si>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</si>
  <si>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</si>
  <si>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</si>
  <si>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</si>
  <si>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</si>
  <si>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</si>
  <si>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</si>
  <si>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</si>
  <si>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</si>
  <si>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</si>
  <si>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</si>
  <si>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</si>
  <si>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</si>
  <si>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</si>
  <si>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</si>
  <si>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</si>
  <si>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</si>
  <si>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</si>
  <si>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</si>
  <si>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</si>
  <si>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</si>
  <si>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</si>
  <si>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</si>
  <si>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</si>
  <si>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</si>
  <si>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</si>
  <si>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</si>
  <si>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</si>
  <si>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</si>
  <si>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</si>
  <si>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</si>
  <si>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</si>
  <si>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</si>
  <si>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</si>
  <si>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</si>
  <si>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</si>
  <si>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</si>
  <si>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</si>
  <si>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</si>
  <si>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</si>
  <si>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</si>
  <si>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</si>
  <si>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</si>
  <si>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</si>
  <si>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</si>
  <si>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</si>
  <si>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</si>
  <si>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</si>
  <si>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</si>
  <si>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</si>
  <si>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</si>
  <si>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</si>
  <si>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</si>
  <si>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</si>
  <si>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</si>
  <si>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</si>
  <si>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</si>
  <si>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</si>
  <si>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</si>
  <si>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</si>
  <si>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</si>
  <si>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</si>
  <si>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</si>
  <si>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</si>
  <si>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</si>
  <si>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</si>
  <si>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</si>
  <si>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</si>
  <si>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</si>
  <si>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</si>
  <si>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</si>
  <si>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</si>
  <si>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</si>
  <si>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</si>
  <si>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</si>
  <si>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</si>
  <si>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</si>
  <si>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</si>
  <si>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</si>
  <si>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</si>
  <si>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</si>
  <si>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</si>
  <si>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</si>
  <si>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</si>
  <si>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</si>
  <si>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</si>
  <si>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</si>
  <si>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</si>
  <si>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</si>
  <si>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</si>
  <si>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</si>
  <si>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</si>
  <si>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</si>
  <si>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</si>
  <si>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</si>
  <si>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</si>
  <si>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</si>
  <si>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</si>
  <si>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</si>
  <si>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</si>
  <si>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</si>
  <si>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</si>
  <si>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</si>
  <si>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</si>
  <si>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</si>
  <si>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</si>
  <si>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</si>
  <si>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</si>
  <si>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</si>
  <si>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</si>
  <si>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</si>
  <si>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</si>
  <si>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</si>
  <si>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</si>
  <si>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</si>
  <si>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</si>
  <si>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</si>
  <si>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</si>
  <si>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</si>
  <si>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</si>
  <si>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</si>
  <si>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</si>
  <si>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</si>
  <si>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</si>
  <si>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</si>
  <si>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</si>
  <si>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</si>
  <si>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</si>
  <si>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</si>
  <si>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</si>
  <si>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</si>
  <si>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</si>
  <si>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</si>
  <si>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</si>
  <si>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</si>
  <si>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</si>
  <si>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</si>
  <si>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</si>
  <si>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</si>
  <si>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</si>
  <si>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</si>
  <si>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</si>
  <si>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</si>
  <si>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</si>
  <si>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</si>
  <si>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</si>
  <si>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</si>
  <si>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</si>
  <si>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</si>
  <si>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</si>
  <si>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</si>
  <si>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</si>
  <si>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</si>
  <si>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</si>
  <si>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</si>
  <si>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</si>
  <si>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</si>
  <si>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</si>
  <si>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</si>
  <si>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</si>
  <si>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</si>
  <si>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</si>
  <si>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</si>
  <si>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</si>
  <si>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</si>
  <si>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</si>
  <si>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</si>
  <si>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</si>
  <si>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</si>
  <si>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</si>
  <si>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</si>
  <si>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</si>
  <si>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</si>
  <si>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</si>
  <si>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</si>
  <si>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</si>
  <si>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</si>
  <si>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</si>
  <si>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</si>
  <si>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</si>
  <si>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</si>
  <si>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</si>
  <si>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</si>
  <si>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</si>
  <si>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</si>
  <si>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</si>
  <si>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</si>
  <si>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</si>
  <si>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</si>
  <si>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</si>
  <si>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</si>
  <si>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</si>
  <si>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</si>
  <si>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</si>
  <si>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</si>
  <si>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</si>
  <si>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</si>
  <si>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</si>
  <si>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</si>
  <si>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</si>
  <si>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</si>
  <si>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</si>
  <si>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</si>
  <si>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</si>
  <si>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</si>
  <si>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</si>
  <si>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</si>
  <si>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</si>
  <si>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</si>
  <si>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</si>
  <si>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</si>
  <si>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</si>
  <si>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</si>
  <si>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</si>
  <si>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</si>
  <si>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</si>
  <si>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</si>
  <si>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</si>
  <si>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</si>
  <si>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</si>
  <si>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</si>
  <si>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</si>
  <si>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</si>
  <si>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</si>
  <si>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</si>
  <si>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</si>
  <si>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</si>
  <si>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</si>
  <si>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</si>
  <si>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</si>
  <si>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</si>
  <si>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</si>
  <si>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</si>
  <si>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</si>
  <si>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</si>
  <si>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</si>
  <si>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</si>
  <si>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</si>
  <si>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</si>
  <si>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</si>
  <si>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</si>
  <si>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</si>
  <si>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</si>
  <si>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</si>
  <si>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</si>
  <si>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</si>
  <si>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</si>
  <si>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</si>
  <si>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</si>
  <si>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</si>
  <si>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</si>
  <si>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</si>
  <si>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</si>
  <si>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</si>
  <si>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</si>
  <si>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</si>
  <si>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</si>
  <si>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</si>
  <si>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</si>
  <si>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</si>
  <si>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</si>
  <si>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</si>
  <si>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</si>
  <si>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</si>
  <si>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</si>
  <si>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</si>
  <si>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</si>
  <si>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</si>
  <si>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</si>
  <si>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</si>
  <si>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</si>
  <si>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</si>
  <si>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</si>
  <si>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</si>
  <si>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</si>
  <si>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</si>
  <si>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</si>
  <si>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</si>
  <si>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</si>
  <si>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</si>
  <si>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</si>
  <si>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</si>
  <si>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</si>
  <si>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</si>
  <si>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</si>
  <si>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</si>
  <si>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</si>
  <si>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</si>
  <si>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</si>
  <si>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</si>
  <si>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</si>
  <si>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</si>
  <si>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</si>
  <si>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</si>
  <si>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</si>
  <si>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</si>
  <si>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</si>
  <si>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</si>
  <si>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</si>
  <si>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</si>
  <si>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</si>
  <si>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</si>
  <si>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</si>
  <si>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</si>
  <si>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</si>
  <si>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</si>
  <si>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</si>
  <si>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</si>
  <si>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</si>
  <si>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</si>
  <si>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</si>
  <si>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</si>
  <si>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</si>
  <si>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</si>
  <si>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</si>
  <si>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</si>
  <si>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</si>
  <si>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</si>
  <si>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</si>
  <si>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</si>
  <si>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</si>
  <si>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</si>
  <si>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</si>
  <si>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</si>
  <si>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</si>
  <si>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</si>
  <si>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</si>
  <si>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</si>
  <si>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</si>
  <si>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</si>
  <si>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</si>
  <si>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</si>
  <si>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</si>
  <si>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</si>
  <si>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</si>
  <si>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</si>
  <si>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</si>
  <si>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</si>
  <si>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</si>
  <si>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</si>
  <si>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</si>
  <si>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</si>
  <si>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</si>
  <si>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</si>
  <si>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</si>
  <si>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</si>
  <si>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</si>
  <si>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</si>
  <si>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</si>
  <si>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</si>
  <si>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</si>
  <si>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</si>
  <si>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</si>
  <si>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</si>
  <si>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</si>
  <si>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</si>
  <si>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</si>
  <si>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</si>
  <si>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</si>
  <si>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</si>
  <si>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</si>
  <si>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</si>
  <si>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</si>
  <si>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</si>
  <si>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</si>
  <si>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</si>
  <si>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</si>
  <si>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</si>
  <si>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</si>
  <si>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</si>
  <si>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</si>
  <si>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</si>
  <si>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</si>
  <si>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</si>
  <si>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</si>
  <si>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</si>
  <si>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</si>
  <si>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</si>
  <si>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</si>
  <si>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</si>
  <si>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</si>
  <si>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</si>
  <si>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</si>
  <si>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</si>
  <si>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</si>
  <si>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</si>
  <si>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</si>
  <si>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</si>
  <si>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</si>
  <si>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</si>
  <si>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</si>
  <si>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</si>
  <si>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</si>
  <si>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</si>
  <si>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</si>
  <si>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</si>
  <si>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</si>
  <si>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</si>
  <si>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</si>
  <si>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</si>
  <si>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</si>
  <si>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</si>
  <si>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</si>
  <si>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</si>
  <si>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</si>
  <si>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</si>
  <si>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</si>
  <si>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</si>
  <si>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</si>
  <si>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</si>
  <si>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</si>
  <si>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</si>
  <si>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</si>
  <si>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</si>
  <si>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</si>
  <si>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</si>
  <si>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</si>
  <si>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</si>
  <si>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</si>
  <si>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</si>
  <si>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</si>
  <si>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</si>
  <si>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</si>
  <si>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</si>
  <si>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</si>
  <si>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</si>
  <si>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</si>
  <si>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</si>
  <si>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</si>
  <si>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</si>
  <si>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</si>
  <si>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</si>
  <si>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</si>
  <si>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</si>
  <si>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</si>
  <si>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</si>
  <si>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</si>
  <si>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</si>
  <si>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</si>
  <si>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</si>
  <si>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</si>
  <si>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</si>
  <si>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</si>
  <si>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</si>
  <si>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</si>
  <si>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</si>
  <si>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</si>
  <si>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</si>
  <si>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</si>
  <si>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</si>
  <si>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</si>
  <si>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</si>
  <si>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</si>
  <si>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</si>
  <si>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</si>
  <si>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</si>
  <si>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</si>
  <si>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</si>
  <si>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</si>
  <si>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</si>
  <si>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</si>
  <si>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</si>
  <si>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</si>
  <si>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</si>
  <si>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</si>
  <si>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</si>
  <si>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</si>
  <si>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</si>
  <si>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</si>
  <si>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</si>
  <si>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</si>
  <si>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</si>
  <si>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</si>
  <si>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</si>
  <si>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</si>
  <si>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</si>
  <si>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</si>
  <si>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</si>
  <si>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</si>
  <si>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</si>
  <si>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</si>
  <si>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</si>
  <si>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</si>
  <si>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</si>
  <si>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</si>
  <si>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</si>
  <si>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</si>
  <si>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</si>
  <si>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</si>
  <si>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</si>
  <si>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</si>
  <si>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</si>
  <si>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</si>
  <si>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</si>
  <si>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</si>
  <si>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</si>
  <si>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</si>
  <si>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</si>
  <si>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</si>
  <si>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</si>
  <si>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</si>
  <si>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</si>
  <si>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</si>
  <si>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</si>
  <si>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</si>
  <si>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</si>
  <si>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</si>
  <si>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</si>
  <si>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</si>
  <si>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</si>
  <si>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</si>
  <si>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</si>
  <si>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</si>
  <si>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</si>
  <si>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</si>
  <si>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</si>
  <si>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</si>
  <si>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</si>
  <si>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</si>
  <si>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</si>
  <si>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</si>
  <si>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</si>
  <si>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</si>
  <si>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</si>
  <si>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</si>
  <si>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</si>
  <si>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</si>
  <si>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</si>
  <si>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</si>
  <si>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</si>
  <si>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</si>
  <si>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</si>
  <si>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</si>
  <si>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</si>
  <si>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</si>
  <si>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</si>
  <si>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</si>
  <si>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</si>
  <si>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</si>
  <si>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</si>
  <si>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</si>
  <si>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</si>
  <si>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</si>
  <si>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</si>
  <si>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</si>
  <si>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</si>
  <si>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</si>
  <si>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</si>
  <si>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</si>
  <si>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</si>
  <si>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</si>
  <si>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</si>
  <si>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</si>
  <si>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</si>
  <si>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</si>
  <si>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</si>
  <si>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</si>
  <si>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</si>
  <si>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</si>
  <si>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</si>
  <si>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</si>
  <si>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</si>
  <si>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</si>
  <si>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</si>
  <si>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</si>
  <si>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</si>
  <si>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</si>
  <si>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</si>
  <si>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</si>
  <si>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</si>
  <si>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</si>
  <si>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</si>
  <si>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</si>
  <si>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</si>
  <si>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</si>
  <si>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</si>
  <si>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</si>
  <si>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</si>
  <si>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</si>
  <si>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</si>
  <si>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</si>
  <si>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</si>
  <si>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</si>
  <si>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</si>
  <si>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</si>
  <si>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</si>
  <si>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</si>
  <si>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</si>
  <si>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</si>
  <si>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</si>
  <si>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</si>
  <si>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</si>
  <si>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</si>
  <si>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</si>
  <si>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</si>
  <si>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</si>
  <si>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</si>
  <si>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</si>
  <si>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</si>
  <si>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</si>
  <si>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</si>
  <si>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</si>
  <si>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</si>
  <si>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</si>
  <si>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</si>
  <si>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</si>
  <si>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</si>
  <si>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</si>
  <si>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</si>
  <si>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</si>
  <si>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</si>
  <si>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</si>
  <si>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</si>
  <si>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</si>
  <si>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</si>
  <si>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</si>
  <si>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</si>
  <si>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</si>
  <si>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</si>
  <si>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</si>
  <si>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</si>
  <si>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</si>
  <si>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</si>
  <si>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</si>
  <si>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</si>
  <si>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</si>
  <si>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</si>
  <si>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</si>
  <si>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</si>
  <si>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</si>
  <si>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</si>
  <si>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</si>
  <si>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</si>
  <si>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</si>
  <si>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</si>
  <si>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</si>
  <si>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</si>
  <si>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</si>
  <si>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</si>
  <si>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</si>
  <si>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</si>
  <si>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</si>
  <si>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</si>
  <si>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</si>
  <si>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</si>
  <si>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</si>
  <si>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</si>
  <si>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</si>
  <si>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</si>
  <si>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</si>
  <si>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</si>
  <si>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</si>
  <si>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</si>
  <si>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</si>
  <si>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</si>
  <si>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</si>
  <si>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</si>
  <si>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</si>
  <si>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</si>
  <si>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</si>
  <si>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</si>
  <si>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</si>
  <si>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</si>
  <si>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</si>
  <si>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</si>
  <si>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</si>
  <si>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</si>
  <si>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</si>
  <si>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</si>
  <si>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</si>
  <si>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</si>
  <si>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</si>
  <si>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</si>
  <si>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</si>
  <si>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</si>
  <si>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</si>
  <si>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</si>
  <si>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</si>
  <si>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</si>
  <si>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</si>
  <si>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</si>
  <si>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</si>
  <si>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</si>
  <si>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</si>
  <si>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</si>
  <si>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</si>
  <si>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</si>
  <si>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</si>
  <si>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</si>
  <si>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</si>
  <si>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</si>
  <si>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</si>
  <si>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</si>
  <si>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</si>
  <si>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</si>
  <si>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</si>
  <si>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</si>
  <si>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</si>
  <si>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</si>
  <si>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</si>
  <si>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</si>
  <si>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</si>
  <si>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</si>
  <si>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</si>
  <si>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</si>
  <si>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</si>
  <si>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</si>
  <si>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</si>
  <si>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</si>
  <si>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</si>
  <si>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</si>
  <si>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</si>
  <si>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</si>
  <si>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</si>
  <si>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</si>
  <si>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</si>
  <si>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</si>
  <si>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</si>
  <si>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</si>
  <si>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</si>
  <si>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</si>
  <si>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</si>
  <si>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</si>
  <si>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</si>
  <si>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</si>
  <si>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</si>
  <si>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</si>
  <si>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</si>
  <si>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</si>
  <si>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</si>
  <si>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</si>
  <si>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</si>
  <si>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</si>
  <si>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</si>
  <si>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</si>
  <si>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</si>
  <si>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</si>
  <si>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</si>
  <si>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</si>
  <si>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</si>
  <si>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</si>
  <si>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</si>
  <si>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</si>
  <si>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</si>
  <si>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</si>
  <si>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</si>
  <si>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</si>
  <si>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</si>
  <si>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</si>
  <si>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</si>
  <si>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</si>
  <si>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</si>
  <si>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</si>
  <si>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</si>
  <si>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</si>
  <si>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</si>
  <si>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</si>
  <si>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</si>
  <si>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</si>
  <si>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</si>
  <si>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</si>
  <si>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</si>
  <si>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</si>
  <si>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</si>
  <si>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</si>
  <si>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</si>
  <si>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</si>
  <si>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</si>
  <si>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</si>
  <si>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</si>
  <si>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</si>
  <si>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</si>
  <si>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</si>
  <si>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</si>
  <si>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</si>
  <si>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</si>
  <si>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</si>
  <si>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</si>
  <si>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</si>
  <si>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</si>
  <si>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</si>
  <si>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</si>
  <si>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</si>
  <si>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</si>
  <si>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</si>
  <si>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</si>
  <si>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</si>
  <si>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</si>
  <si>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</si>
  <si>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</si>
  <si>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</si>
  <si>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</si>
  <si>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</si>
  <si>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</si>
  <si>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</si>
  <si>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</si>
  <si>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</si>
  <si>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</si>
  <si>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</si>
  <si>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</si>
  <si>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</si>
  <si>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</si>
  <si>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</si>
  <si>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</si>
  <si>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</si>
  <si>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</si>
  <si>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</si>
  <si>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</si>
  <si>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</si>
  <si>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</si>
  <si>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</si>
  <si>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</si>
  <si>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</si>
  <si>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</si>
  <si>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</si>
  <si>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</si>
  <si>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</si>
  <si>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</si>
  <si>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</si>
  <si>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</si>
  <si>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</si>
  <si>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</si>
  <si>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</si>
  <si>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</si>
  <si>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</si>
  <si>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</si>
  <si>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</si>
  <si>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</si>
  <si>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</si>
  <si>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</si>
  <si>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</si>
  <si>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</si>
  <si>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</si>
  <si>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</si>
  <si>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</si>
  <si>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</si>
  <si>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</si>
  <si>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</si>
  <si>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</si>
  <si>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</si>
  <si>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</si>
  <si>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</si>
  <si>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</si>
  <si>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</si>
  <si>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</si>
  <si>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</si>
  <si>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</si>
  <si>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</si>
  <si>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</si>
  <si>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</si>
  <si>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</si>
  <si>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</si>
  <si>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</si>
  <si>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</si>
  <si>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</si>
  <si>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</si>
  <si>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</si>
  <si>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</si>
  <si>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</si>
  <si>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</si>
  <si>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</si>
  <si>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</si>
  <si>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</si>
  <si>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</si>
  <si>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</si>
  <si>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</si>
  <si>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</si>
  <si>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</si>
  <si>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</si>
  <si>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</si>
  <si>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</si>
  <si>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</si>
  <si>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</si>
  <si>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</si>
  <si>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</si>
  <si>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</si>
  <si>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</si>
  <si>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</si>
  <si>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</si>
  <si>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</si>
  <si>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</si>
  <si>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</si>
  <si>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</si>
  <si>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</si>
  <si>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</si>
  <si>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</si>
  <si>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</si>
  <si>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</si>
  <si>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</si>
  <si>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</si>
  <si>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</si>
  <si>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</si>
  <si>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</si>
  <si>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</si>
  <si>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</si>
  <si>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</si>
  <si>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</si>
  <si>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</si>
  <si>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</si>
  <si>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</si>
  <si>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</si>
  <si>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</si>
  <si>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</si>
  <si>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</si>
  <si>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</si>
  <si>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</si>
  <si>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</si>
  <si>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</si>
  <si>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</si>
  <si>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</si>
  <si>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</si>
  <si>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</si>
  <si>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</si>
  <si>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</si>
  <si>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</si>
  <si>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</si>
  <si>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</si>
  <si>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</si>
  <si>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</si>
  <si>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</si>
  <si>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</si>
  <si>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</si>
  <si>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</si>
  <si>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</si>
  <si>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</si>
  <si>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</si>
  <si>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</si>
  <si>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</si>
  <si>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</si>
  <si>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</si>
  <si>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</si>
  <si>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</si>
  <si>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</si>
  <si>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</si>
  <si>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</si>
  <si>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</si>
  <si>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</si>
  <si>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</si>
  <si>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</si>
  <si>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</si>
  <si>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</si>
  <si>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</si>
  <si>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</si>
  <si>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</si>
  <si>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</si>
  <si>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</si>
  <si>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</si>
  <si>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</si>
  <si>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</si>
  <si>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</si>
  <si>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</si>
  <si>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</si>
  <si>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</si>
  <si>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</si>
  <si>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</si>
  <si>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</si>
  <si>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</si>
  <si>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</si>
  <si>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</si>
  <si>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</si>
  <si>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</si>
  <si>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</si>
  <si>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</si>
  <si>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</si>
  <si>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</si>
  <si>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</si>
  <si>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</si>
  <si>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</si>
  <si>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</si>
  <si>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</si>
  <si>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</si>
  <si>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</si>
  <si>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</si>
  <si>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</si>
  <si>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</si>
  <si>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</si>
  <si>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</si>
  <si>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</si>
  <si>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</si>
  <si>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</si>
  <si>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</si>
  <si>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</si>
  <si>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</si>
  <si>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</si>
  <si>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</si>
  <si>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</si>
  <si>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</si>
  <si>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</si>
  <si>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</si>
  <si>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</si>
  <si>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</si>
  <si>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</si>
  <si>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</si>
  <si>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</si>
  <si>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</si>
  <si>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</si>
  <si>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</si>
  <si>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</si>
  <si>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</si>
  <si>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</si>
  <si>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</si>
  <si>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</si>
  <si>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</si>
  <si>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</si>
  <si>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</si>
  <si>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</si>
  <si>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</si>
  <si>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</si>
  <si>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</si>
  <si>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</si>
  <si>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</si>
  <si>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</si>
  <si>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</si>
  <si>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</si>
  <si>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</si>
  <si>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</si>
  <si>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</si>
  <si>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</si>
  <si>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</si>
  <si>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</si>
  <si>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</si>
  <si>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</si>
  <si>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</si>
  <si>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</si>
  <si>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</si>
  <si>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</si>
  <si>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</si>
  <si>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</si>
  <si>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</si>
  <si>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</si>
  <si>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</si>
  <si>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</si>
  <si>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</si>
  <si>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</si>
  <si>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</si>
  <si>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</si>
  <si>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</si>
  <si>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</si>
  <si>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</si>
  <si>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</si>
  <si>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</si>
  <si>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</si>
  <si>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</si>
  <si>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</si>
  <si>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</si>
  <si>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</si>
  <si>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</si>
  <si>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</si>
  <si>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</si>
  <si>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</si>
  <si>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</si>
  <si>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</si>
  <si>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</si>
  <si>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</si>
  <si>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</si>
  <si>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</si>
  <si>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</si>
  <si>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</si>
  <si>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</si>
  <si>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</si>
  <si>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</si>
  <si>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</si>
  <si>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</si>
  <si>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</si>
  <si>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</si>
  <si>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</si>
  <si>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</si>
  <si>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</si>
  <si>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</si>
  <si>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</si>
  <si>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</si>
  <si>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</si>
  <si>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</si>
  <si>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</si>
  <si>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</si>
  <si>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</si>
  <si>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</si>
  <si>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</si>
  <si>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</si>
  <si>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</si>
  <si>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</si>
  <si>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</si>
  <si>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</si>
  <si>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</si>
  <si>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</si>
  <si>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</si>
  <si>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</si>
  <si>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</si>
  <si>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</si>
  <si>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</si>
  <si>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</si>
  <si>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</si>
  <si>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</si>
  <si>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</si>
  <si>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</si>
  <si>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</si>
  <si>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</si>
  <si>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</si>
  <si>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</si>
  <si>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</si>
  <si>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</si>
  <si>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</si>
  <si>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</si>
  <si>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</si>
  <si>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</si>
  <si>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</si>
  <si>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</si>
  <si>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</si>
  <si>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</si>
  <si>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</si>
  <si>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</si>
  <si>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</si>
  <si>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</si>
  <si>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</si>
  <si>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</si>
  <si>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</si>
  <si>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</si>
  <si>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</si>
  <si>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</si>
  <si>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</si>
  <si>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</si>
  <si>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</si>
  <si>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</si>
  <si>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</si>
  <si>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</si>
  <si>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</si>
  <si>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</si>
  <si>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</si>
  <si>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</si>
  <si>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</si>
  <si>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</si>
  <si>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</si>
  <si>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</si>
  <si>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</si>
  <si>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</si>
  <si>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</si>
  <si>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</si>
  <si>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</si>
  <si>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</si>
  <si>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</si>
  <si>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</si>
  <si>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</si>
  <si>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</si>
  <si>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</si>
  <si>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</si>
  <si>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</si>
  <si>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</si>
  <si>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</si>
  <si>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</si>
  <si>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</si>
  <si>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</si>
  <si>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</si>
  <si>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</si>
  <si>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</si>
  <si>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</si>
  <si>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</si>
  <si>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</si>
  <si>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</si>
  <si>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</si>
  <si>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</si>
  <si>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</si>
  <si>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</si>
  <si>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</si>
  <si>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</si>
  <si>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</si>
  <si>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</si>
  <si>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</si>
  <si>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</si>
  <si>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</si>
  <si>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</si>
  <si>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</si>
  <si>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</si>
  <si>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</si>
  <si>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</si>
  <si>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</si>
  <si>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</si>
  <si>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</si>
  <si>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</si>
  <si>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</si>
  <si>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</si>
  <si>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</si>
  <si>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</si>
  <si>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</si>
  <si>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</si>
  <si>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</si>
  <si>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</si>
  <si>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</si>
  <si>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</si>
  <si>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</si>
  <si>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</si>
  <si>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</si>
  <si>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</si>
  <si>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</si>
  <si>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</si>
  <si>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</si>
  <si>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</si>
  <si>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</si>
  <si>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</si>
  <si>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</si>
  <si>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</si>
  <si>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</si>
  <si>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</si>
  <si>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</si>
  <si>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</si>
  <si>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</si>
  <si>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</si>
  <si>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</si>
  <si>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</si>
  <si>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</si>
  <si>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</si>
  <si>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</si>
  <si>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</si>
  <si>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</si>
  <si>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</si>
  <si>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</si>
  <si>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</si>
  <si>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</si>
  <si>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</si>
  <si>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</si>
  <si>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</si>
  <si>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</si>
  <si>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</si>
  <si>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</si>
  <si>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</si>
  <si>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</si>
  <si>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</si>
  <si>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</si>
  <si>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</si>
  <si>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</si>
  <si>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</si>
  <si>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</si>
  <si>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</si>
  <si>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</si>
  <si>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</si>
  <si>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</si>
  <si>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</si>
  <si>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</si>
  <si>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</si>
  <si>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</si>
  <si>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</si>
  <si>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</si>
  <si>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</si>
  <si>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</si>
  <si>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</si>
  <si>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</si>
  <si>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</si>
  <si>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</si>
  <si>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</si>
  <si>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</si>
  <si>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</si>
  <si>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</si>
  <si>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</si>
  <si>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</si>
  <si>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</si>
  <si>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</si>
  <si>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</si>
  <si>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</si>
  <si>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</si>
  <si>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</si>
  <si>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</si>
  <si>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</si>
  <si>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</si>
  <si>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</si>
  <si>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</si>
  <si>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</si>
  <si>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</si>
  <si>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</si>
  <si>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</si>
  <si>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</si>
  <si>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</si>
  <si>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</si>
  <si>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</si>
  <si>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</si>
  <si>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</si>
  <si>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</si>
  <si>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</si>
  <si>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</si>
  <si>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</si>
  <si>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</si>
  <si>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</si>
  <si>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</si>
  <si>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</si>
  <si>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</si>
  <si>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</si>
  <si>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</si>
  <si>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</si>
  <si>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</si>
  <si>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</si>
  <si>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</si>
  <si>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</si>
  <si>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</si>
  <si>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</si>
  <si>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</si>
  <si>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</si>
  <si>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</si>
  <si>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</si>
  <si>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</si>
  <si>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</si>
  <si>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</si>
  <si>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</si>
  <si>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</si>
  <si>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</si>
  <si>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</si>
  <si>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</si>
  <si>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</si>
  <si>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</si>
  <si>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</si>
  <si>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</si>
  <si>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</si>
  <si>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</si>
  <si>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</si>
  <si>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</si>
  <si>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</si>
  <si>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</si>
  <si>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</si>
  <si>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</si>
  <si>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</si>
  <si>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</si>
  <si>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</si>
  <si>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</si>
  <si>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</si>
  <si>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</si>
  <si>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</si>
  <si>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</si>
  <si>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</si>
  <si>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</si>
  <si>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</si>
  <si>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</si>
  <si>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</si>
  <si>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</si>
  <si>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</si>
  <si>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</si>
  <si>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</si>
  <si>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</si>
  <si>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</si>
  <si>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</si>
  <si>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</si>
  <si>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</si>
  <si>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</si>
  <si>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</si>
  <si>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</si>
  <si>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</si>
  <si>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</si>
  <si>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</si>
  <si>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</si>
  <si>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</si>
  <si>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</si>
  <si>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</si>
  <si>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</si>
  <si>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</si>
  <si>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</si>
  <si>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</si>
  <si>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</si>
  <si>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</si>
  <si>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</si>
  <si>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</si>
  <si>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</si>
  <si>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</si>
  <si>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</si>
  <si>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</si>
  <si>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</si>
  <si>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</si>
  <si>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</si>
  <si>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</si>
  <si>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</si>
  <si>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</si>
  <si>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</si>
  <si>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</si>
  <si>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</si>
  <si>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</si>
  <si>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</si>
  <si>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</si>
  <si>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</si>
  <si>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</si>
  <si>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</si>
  <si>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</si>
  <si>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</si>
  <si>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</si>
  <si>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</si>
  <si>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</si>
  <si>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</si>
  <si>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</si>
  <si>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</si>
  <si>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</si>
  <si>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</si>
  <si>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</si>
  <si>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</si>
  <si>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</si>
  <si>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</si>
  <si>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</si>
  <si>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</si>
  <si>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</si>
  <si>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</si>
  <si>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</si>
  <si>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</si>
  <si>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</si>
  <si>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</si>
  <si>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</si>
  <si>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</si>
  <si>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</si>
  <si>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</si>
  <si>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</si>
  <si>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</si>
  <si>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</si>
  <si>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</si>
  <si>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</si>
  <si>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</si>
  <si>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</si>
  <si>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</si>
  <si>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</si>
  <si>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</si>
  <si>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</si>
  <si>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</si>
  <si>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</si>
  <si>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</si>
  <si>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</si>
  <si>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</si>
  <si>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</si>
  <si>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</si>
  <si>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</si>
  <si>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</si>
  <si>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</si>
  <si>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</si>
  <si>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</si>
  <si>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</si>
  <si>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</si>
  <si>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</si>
  <si>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</si>
  <si>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</si>
  <si>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</si>
  <si>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</si>
  <si>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</si>
  <si>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</si>
  <si>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</si>
  <si>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</si>
  <si>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</si>
  <si>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</si>
  <si>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</si>
  <si>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</si>
  <si>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</si>
  <si>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</si>
  <si>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</si>
  <si>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</si>
  <si>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</si>
  <si>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</si>
  <si>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</si>
  <si>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</si>
  <si>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</si>
  <si>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</si>
  <si>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</si>
  <si>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</si>
  <si>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</si>
  <si>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</si>
  <si>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</si>
  <si>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</si>
  <si>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</si>
  <si>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</si>
  <si>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</si>
  <si>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</si>
  <si>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</si>
  <si>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</si>
  <si>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</si>
  <si>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</si>
  <si>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</si>
  <si>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</si>
  <si>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</si>
  <si>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</si>
  <si>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</si>
  <si>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</si>
  <si>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</si>
  <si>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</si>
  <si>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</si>
  <si>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</si>
  <si>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</si>
  <si>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</si>
  <si>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</si>
  <si>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</si>
  <si>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</si>
  <si>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</si>
  <si>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</si>
  <si>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</si>
  <si>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</si>
  <si>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</si>
  <si>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</si>
  <si>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</si>
  <si>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</si>
  <si>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</si>
  <si>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</si>
  <si>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</si>
  <si>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</si>
  <si>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</si>
  <si>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</si>
  <si>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</si>
  <si>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</si>
  <si>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</si>
  <si>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</si>
  <si>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</si>
  <si>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</si>
  <si>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</si>
  <si>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</si>
  <si>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</si>
  <si>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</si>
  <si>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</si>
  <si>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</si>
  <si>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</si>
  <si>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</si>
  <si>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</si>
  <si>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</si>
  <si>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</si>
  <si>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</si>
  <si>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</si>
  <si>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</si>
  <si>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</si>
  <si>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</si>
  <si>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</si>
  <si>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</si>
  <si>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</si>
  <si>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</si>
  <si>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</si>
  <si>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</si>
  <si>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</si>
  <si>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</si>
  <si>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</si>
  <si>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</si>
  <si>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</si>
  <si>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</si>
  <si>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</si>
  <si>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</si>
  <si>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</si>
  <si>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</si>
  <si>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</si>
  <si>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</si>
  <si>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</si>
  <si>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</si>
  <si>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</si>
  <si>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</si>
  <si>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</si>
  <si>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</si>
  <si>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</si>
  <si>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</si>
  <si>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</si>
  <si>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</si>
  <si>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</si>
  <si>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</si>
  <si>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</si>
  <si>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</si>
  <si>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</si>
  <si>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</si>
  <si>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</si>
  <si>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</si>
  <si>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</si>
  <si>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</si>
  <si>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</si>
  <si>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</si>
  <si>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</si>
  <si>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</si>
  <si>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</si>
  <si>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</si>
  <si>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</si>
  <si>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</si>
  <si>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</si>
  <si>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</si>
  <si>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</si>
  <si>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</si>
  <si>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</si>
  <si>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</si>
  <si>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</si>
  <si>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</si>
  <si>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</si>
  <si>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</si>
  <si>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</si>
  <si>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</si>
  <si>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</si>
  <si>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</si>
  <si>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</si>
  <si>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</si>
  <si>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</si>
  <si>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</si>
  <si>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</si>
  <si>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</si>
  <si>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</si>
  <si>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</si>
  <si>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</si>
  <si>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</si>
  <si>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</si>
  <si>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</si>
  <si>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</si>
  <si>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</si>
  <si>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</si>
  <si>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</si>
  <si>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</si>
  <si>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</si>
  <si>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</si>
  <si>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</si>
  <si>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</si>
  <si>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</si>
  <si>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</si>
  <si>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</si>
  <si>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</si>
  <si>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</si>
  <si>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</si>
  <si>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</si>
  <si>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</si>
  <si>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</si>
  <si>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</si>
  <si>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</si>
  <si>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</si>
  <si>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</si>
  <si>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</si>
  <si>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</si>
  <si>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</si>
  <si>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</si>
  <si>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</si>
  <si>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</si>
  <si>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</si>
  <si>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</si>
  <si>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</si>
  <si>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</si>
  <si>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</si>
  <si>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</si>
  <si>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</si>
  <si>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</si>
  <si>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</si>
  <si>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</si>
  <si>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</si>
  <si>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</si>
  <si>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</si>
  <si>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</si>
  <si>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</si>
  <si>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</si>
  <si>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</si>
  <si>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</si>
  <si>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</si>
  <si>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</si>
  <si>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</si>
  <si>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</si>
  <si>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</si>
  <si>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</si>
  <si>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</si>
  <si>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</si>
  <si>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</si>
  <si>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</si>
  <si>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</si>
  <si>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</si>
  <si>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</si>
  <si>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</si>
  <si>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</si>
  <si>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</si>
  <si>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</si>
  <si>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</si>
  <si>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</si>
  <si>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</si>
  <si>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</si>
  <si>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</si>
  <si>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</si>
  <si>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</si>
  <si>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</si>
  <si>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</si>
  <si>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</si>
  <si>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</si>
  <si>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</si>
  <si>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</si>
  <si>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</si>
  <si>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</si>
  <si>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</si>
  <si>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</si>
  <si>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</si>
  <si>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</si>
  <si>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</si>
  <si>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</si>
  <si>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</si>
  <si>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</si>
  <si>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</si>
  <si>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</si>
  <si>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</si>
  <si>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</si>
  <si>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</si>
  <si>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</si>
  <si>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</si>
  <si>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</si>
  <si>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</si>
  <si>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</si>
  <si>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</si>
  <si>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</si>
  <si>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</si>
  <si>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</si>
  <si>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</si>
  <si>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</si>
  <si>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</si>
  <si>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</si>
  <si>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</si>
  <si>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</si>
  <si>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</si>
  <si>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</si>
  <si>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</si>
  <si>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</si>
  <si>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</si>
  <si>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</si>
  <si>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</si>
  <si>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</si>
  <si>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</si>
  <si>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</si>
  <si>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</si>
  <si>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</si>
  <si>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</si>
  <si>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</si>
  <si>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</si>
  <si>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</si>
  <si>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</si>
  <si>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</si>
  <si>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</si>
  <si>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</si>
  <si>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</si>
  <si>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</si>
  <si>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</si>
  <si>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</si>
  <si>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</si>
  <si>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</si>
  <si>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</si>
  <si>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</si>
  <si>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</si>
  <si>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</si>
  <si>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</si>
  <si>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</si>
  <si>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</si>
  <si>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</si>
  <si>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</si>
  <si>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</si>
  <si>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</si>
  <si>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</si>
  <si>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</si>
  <si>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</si>
  <si>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</si>
  <si>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</si>
  <si>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</si>
  <si>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</si>
  <si>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</si>
  <si>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</si>
  <si>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</si>
  <si>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</si>
  <si>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</si>
  <si>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</si>
  <si>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</si>
  <si>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</si>
  <si>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</si>
  <si>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</si>
  <si>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</si>
  <si>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</si>
  <si>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</si>
  <si>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</si>
  <si>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</si>
  <si>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</si>
  <si>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</si>
  <si>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</si>
  <si>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</si>
  <si>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</si>
  <si>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</si>
  <si>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</si>
  <si>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</si>
  <si>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</si>
  <si>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</si>
  <si>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</si>
  <si>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</si>
  <si>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</si>
  <si>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</si>
  <si>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</si>
  <si>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</si>
  <si>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</si>
  <si>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</si>
  <si>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</si>
  <si>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</si>
  <si>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</si>
  <si>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</si>
  <si>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</si>
  <si>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</si>
  <si>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</si>
  <si>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</si>
  <si>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</si>
  <si>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</si>
  <si>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</si>
  <si>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</si>
  <si>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</si>
  <si>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</si>
  <si>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</si>
  <si>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</si>
  <si>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</si>
  <si>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</si>
  <si>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</si>
  <si>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</si>
  <si>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</si>
  <si>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</si>
  <si>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</si>
  <si>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</si>
  <si>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</si>
  <si>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</si>
  <si>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</si>
  <si>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</si>
  <si>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</si>
  <si>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</si>
  <si>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</si>
  <si>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</si>
  <si>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</si>
  <si>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</si>
  <si>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</si>
  <si>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</si>
  <si>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</si>
  <si>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</si>
  <si>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</si>
  <si>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</si>
  <si>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</si>
  <si>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</si>
  <si>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</si>
  <si>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</si>
  <si>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</si>
  <si>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</si>
  <si>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</si>
  <si>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</si>
  <si>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</si>
  <si>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</si>
  <si>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</si>
  <si>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</si>
  <si>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</si>
  <si>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</si>
  <si>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</si>
  <si>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</si>
  <si>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</si>
  <si>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</si>
  <si>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</si>
  <si>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</si>
  <si>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</si>
  <si>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</si>
  <si>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</si>
  <si>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</si>
  <si>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</si>
  <si>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</si>
  <si>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</si>
  <si>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</si>
  <si>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</si>
  <si>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</si>
  <si>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</si>
  <si>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</si>
  <si>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</si>
  <si>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</si>
  <si>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</si>
  <si>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</si>
  <si>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</si>
  <si>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</si>
  <si>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</si>
  <si>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</si>
  <si>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</si>
  <si>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</si>
  <si>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</si>
  <si>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</si>
  <si>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</si>
  <si>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</si>
  <si>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</si>
  <si>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</si>
  <si>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</si>
  <si>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</si>
  <si>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</si>
  <si>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</si>
  <si>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</si>
  <si>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</si>
  <si>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</si>
  <si>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</si>
  <si>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</si>
  <si>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</si>
  <si>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</si>
  <si>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</si>
  <si>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</si>
  <si>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</si>
  <si>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</si>
  <si>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</si>
  <si>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</si>
  <si>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</si>
  <si>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</si>
  <si>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</si>
  <si>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</si>
  <si>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</si>
  <si>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</si>
  <si>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</si>
  <si>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</si>
  <si>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</si>
  <si>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</si>
  <si>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</si>
  <si>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</si>
  <si>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</si>
  <si>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</si>
  <si>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</si>
  <si>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</si>
  <si>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</si>
  <si>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</si>
  <si>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</si>
  <si>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</si>
  <si>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</si>
  <si>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</si>
  <si>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</si>
  <si>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</si>
  <si>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</si>
  <si>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</si>
  <si>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</si>
  <si>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</si>
  <si>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</si>
  <si>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</si>
  <si>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</si>
  <si>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</si>
  <si>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</si>
  <si>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</si>
  <si>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</si>
  <si>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</si>
  <si>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</si>
  <si>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</si>
  <si>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</si>
  <si>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</si>
  <si>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</si>
  <si>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</si>
  <si>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</si>
  <si>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</si>
  <si>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</si>
  <si>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</si>
  <si>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</si>
  <si>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</si>
  <si>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</si>
  <si>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</si>
  <si>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</si>
  <si>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</si>
  <si>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</si>
  <si>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</si>
  <si>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</si>
  <si>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</si>
  <si>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</si>
  <si>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</si>
  <si>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</si>
  <si>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</si>
  <si>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</si>
  <si>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</si>
  <si>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</si>
  <si>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</si>
  <si>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</si>
  <si>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</si>
  <si>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</si>
  <si>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</si>
  <si>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</si>
  <si>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</si>
  <si>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</si>
  <si>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</si>
  <si>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</si>
  <si>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</si>
  <si>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</si>
  <si>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</si>
  <si>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</si>
  <si>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</si>
  <si>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</si>
  <si>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</si>
  <si>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</si>
  <si>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</si>
  <si>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</si>
  <si>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</si>
  <si>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</si>
  <si>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</si>
  <si>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</si>
  <si>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</si>
  <si>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</si>
  <si>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</si>
  <si>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</si>
  <si>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</si>
  <si>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</si>
  <si>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</si>
  <si>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</si>
  <si>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</si>
  <si>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</si>
  <si>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</si>
  <si>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</si>
  <si>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</si>
  <si>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</si>
  <si>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</si>
  <si>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</si>
  <si>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</si>
  <si>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</si>
  <si>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</si>
  <si>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</si>
  <si>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</si>
  <si>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</si>
  <si>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</si>
  <si>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</si>
  <si>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</si>
  <si>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</si>
  <si>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</si>
  <si>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</si>
  <si>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</si>
  <si>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</si>
  <si>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</si>
  <si>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</si>
  <si>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</si>
  <si>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</si>
  <si>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</si>
  <si>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</si>
  <si>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</si>
  <si>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</si>
  <si>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</si>
  <si>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</si>
  <si>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</si>
  <si>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</si>
  <si>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</si>
  <si>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</si>
  <si>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</si>
  <si>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</si>
  <si>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</si>
  <si>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</si>
  <si>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</si>
  <si>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</si>
  <si>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</si>
  <si>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</si>
  <si>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</si>
  <si>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</si>
  <si>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</si>
  <si>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</si>
  <si>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</si>
  <si>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</si>
  <si>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</si>
  <si>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</si>
  <si>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</si>
  <si>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</si>
  <si>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</si>
  <si>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</si>
  <si>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</si>
  <si>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</si>
  <si>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</si>
  <si>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</si>
  <si>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</si>
  <si>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</si>
  <si>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</si>
  <si>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</si>
  <si>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</si>
  <si>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</si>
  <si>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</si>
  <si>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</si>
  <si>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</si>
  <si>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</si>
  <si>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</si>
  <si>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</si>
  <si>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</si>
  <si>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</si>
  <si>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</si>
  <si>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</si>
  <si>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</si>
  <si>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</si>
  <si>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</si>
  <si>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</si>
  <si>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</si>
  <si>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</si>
  <si>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</si>
  <si>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</si>
  <si>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</si>
  <si>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</si>
  <si>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</si>
  <si>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</si>
  <si>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</si>
  <si>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</si>
  <si>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</si>
  <si>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</si>
  <si>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</si>
  <si>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</si>
  <si>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</si>
  <si>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</si>
  <si>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</si>
  <si>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</si>
  <si>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</si>
  <si>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</si>
  <si>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</si>
  <si>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</si>
  <si>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</si>
  <si>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</si>
  <si>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</si>
  <si>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</si>
  <si>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</si>
  <si>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</si>
  <si>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</si>
  <si>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</si>
  <si>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</si>
  <si>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</si>
  <si>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</si>
  <si>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</si>
  <si>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</si>
  <si>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</si>
  <si>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</si>
  <si>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</si>
  <si>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</si>
  <si>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</si>
  <si>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</si>
  <si>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</si>
  <si>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</si>
  <si>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</si>
  <si>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</si>
  <si>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</si>
  <si>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</si>
  <si>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</si>
  <si>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</si>
  <si>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</si>
  <si>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</si>
  <si>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</si>
  <si>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</si>
  <si>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</si>
  <si>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</si>
  <si>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</si>
  <si>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</si>
  <si>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</si>
  <si>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</si>
  <si>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</si>
  <si>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</si>
  <si>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</si>
  <si>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</si>
  <si>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</si>
  <si>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</si>
  <si>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</si>
  <si>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</si>
  <si>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</si>
  <si>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</si>
  <si>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</si>
  <si>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</si>
  <si>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</si>
  <si>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</si>
  <si>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</si>
  <si>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</si>
  <si>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</si>
  <si>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</si>
  <si>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</si>
  <si>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</si>
  <si>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</si>
  <si>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</si>
  <si>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</si>
  <si>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</si>
  <si>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</si>
  <si>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</si>
  <si>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</si>
  <si>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</si>
  <si>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</si>
  <si>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</si>
  <si>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</si>
  <si>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</si>
  <si>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</si>
  <si>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</si>
  <si>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</si>
  <si>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</si>
  <si>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</si>
  <si>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</si>
  <si>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</si>
  <si>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</si>
  <si>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</si>
  <si>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</si>
  <si>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</si>
  <si>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</si>
  <si>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</si>
  <si>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</si>
  <si>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</si>
  <si>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</si>
  <si>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</si>
  <si>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</si>
  <si>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</si>
  <si>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</si>
  <si>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</si>
  <si>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</si>
  <si>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</si>
  <si>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</si>
  <si>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</si>
  <si>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</si>
  <si>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</si>
  <si>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</si>
  <si>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</si>
  <si>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</si>
  <si>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</si>
  <si>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</si>
  <si>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</si>
  <si>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</si>
  <si>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</si>
  <si>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</si>
  <si>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</si>
  <si>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</si>
  <si>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</si>
  <si>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</si>
  <si>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</si>
  <si>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</si>
  <si>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</si>
  <si>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</si>
  <si>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</si>
  <si>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</si>
  <si>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</si>
  <si>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</si>
  <si>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</si>
  <si>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</si>
  <si>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</si>
  <si>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</si>
  <si>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</si>
  <si>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</si>
  <si>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</si>
  <si>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</si>
  <si>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</si>
  <si>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</si>
  <si>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</si>
  <si>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</si>
  <si>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</si>
  <si>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</si>
  <si>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</si>
  <si>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</si>
  <si>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</si>
  <si>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</si>
  <si>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</si>
  <si>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</si>
  <si>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</si>
  <si>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</si>
  <si>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</si>
  <si>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</si>
  <si>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</si>
  <si>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</si>
  <si>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</si>
  <si>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</si>
  <si>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</si>
  <si>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</si>
  <si>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</si>
  <si>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</si>
  <si>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</si>
  <si>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</si>
  <si>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</si>
  <si>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</si>
  <si>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</si>
  <si>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</si>
  <si>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</si>
  <si>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</si>
  <si>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</si>
  <si>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</si>
  <si>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</si>
  <si>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</si>
  <si>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</si>
  <si>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</si>
  <si>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</si>
  <si>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</si>
  <si>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</si>
  <si>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</si>
  <si>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</si>
  <si>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</si>
  <si>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</si>
  <si>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</si>
  <si>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</si>
  <si>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</si>
  <si>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</si>
  <si>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</si>
  <si>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</si>
  <si>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</si>
  <si>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</si>
  <si>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</si>
  <si>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</si>
  <si>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</si>
  <si>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</si>
  <si>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</si>
  <si>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</si>
  <si>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</si>
  <si>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</si>
  <si>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</si>
  <si>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</si>
  <si>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</si>
  <si>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</si>
  <si>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</si>
  <si>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</si>
  <si>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</si>
  <si>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</si>
  <si>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</si>
  <si>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</si>
  <si>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</si>
  <si>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</si>
  <si>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</si>
  <si>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</si>
  <si>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</si>
  <si>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</si>
  <si>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</si>
  <si>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</si>
  <si>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</si>
  <si>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</si>
  <si>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</si>
  <si>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</si>
  <si>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</si>
  <si>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</si>
  <si>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</si>
  <si>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</si>
  <si>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</si>
  <si>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</si>
  <si>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</si>
  <si>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</si>
  <si>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</si>
  <si>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</si>
  <si>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</si>
  <si>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</si>
  <si>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</si>
  <si>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</si>
  <si>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</si>
  <si>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</si>
  <si>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</si>
  <si>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</si>
  <si>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</si>
  <si>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</si>
  <si>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</si>
  <si>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</si>
  <si>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</si>
  <si>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</si>
  <si>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</si>
  <si>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</si>
  <si>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</si>
  <si>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</si>
  <si>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</si>
  <si>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</si>
  <si>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</si>
  <si>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</si>
  <si>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</si>
  <si>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</si>
  <si>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</si>
  <si>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</si>
  <si>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</si>
  <si>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</si>
  <si>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</si>
  <si>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</si>
  <si>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</si>
  <si>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</si>
  <si>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</si>
  <si>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</si>
  <si>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</si>
  <si>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</si>
  <si>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</si>
  <si>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</si>
  <si>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</si>
  <si>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</si>
  <si>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</si>
  <si>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</si>
  <si>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</si>
  <si>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</si>
  <si>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</si>
  <si>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</si>
  <si>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</si>
  <si>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</si>
  <si>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</si>
  <si>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</si>
  <si>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</si>
  <si>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</si>
  <si>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</si>
  <si>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</si>
  <si>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</si>
  <si>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</si>
  <si>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</si>
  <si>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</si>
  <si>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</si>
  <si>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</si>
  <si>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</si>
  <si>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</si>
  <si>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</si>
  <si>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</si>
  <si>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</si>
  <si>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</si>
  <si>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</si>
  <si>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</si>
  <si>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</si>
  <si>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</si>
  <si>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</si>
  <si>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</si>
  <si>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</si>
  <si>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</si>
  <si>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</si>
  <si>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</si>
  <si>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</si>
  <si>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</si>
  <si>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</si>
  <si>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</si>
  <si>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</si>
  <si>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</si>
  <si>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</si>
  <si>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</si>
  <si>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</si>
  <si>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</si>
  <si>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</si>
  <si>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</si>
  <si>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</si>
  <si>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</si>
  <si>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</si>
  <si>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</si>
  <si>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</si>
  <si>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</si>
  <si>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</si>
  <si>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</si>
  <si>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</si>
  <si>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</si>
  <si>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</si>
  <si>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</si>
  <si>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</si>
  <si>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</si>
  <si>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</si>
  <si>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</si>
  <si>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</si>
  <si>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</si>
  <si>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</si>
  <si>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</si>
  <si>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</si>
  <si>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</si>
  <si>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</si>
  <si>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</si>
  <si>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</si>
  <si>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</si>
  <si>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</si>
  <si>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</si>
  <si>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</si>
  <si>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</si>
  <si>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</si>
  <si>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</si>
  <si>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</si>
  <si>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</si>
  <si>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</si>
  <si>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</si>
  <si>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</si>
  <si>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</si>
  <si>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</si>
  <si>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</si>
  <si>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</si>
  <si>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</si>
  <si>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</si>
  <si>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</si>
  <si>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</si>
  <si>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</si>
  <si>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</si>
  <si>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</si>
  <si>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</si>
  <si>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</si>
  <si>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</si>
  <si>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</si>
  <si>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</si>
  <si>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</si>
  <si>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</si>
  <si>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</si>
  <si>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</si>
  <si>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</si>
  <si>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</si>
  <si>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</si>
  <si>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</si>
  <si>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</si>
  <si>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</si>
  <si>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</si>
  <si>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</si>
  <si>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</si>
  <si>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</si>
  <si>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</si>
  <si>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</si>
  <si>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</si>
  <si>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</si>
  <si>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</si>
  <si>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</si>
  <si>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</si>
  <si>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</si>
  <si>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</si>
  <si>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</si>
  <si>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</si>
  <si>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</si>
  <si>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</si>
  <si>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</si>
  <si>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</si>
  <si>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</si>
  <si>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</si>
  <si>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</si>
  <si>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</si>
  <si>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</si>
  <si>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</si>
  <si>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</si>
  <si>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</si>
  <si>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</si>
  <si>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</si>
  <si>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</si>
  <si>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</si>
  <si>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</si>
  <si>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</si>
  <si>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</si>
  <si>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</si>
  <si>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</si>
  <si>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</si>
  <si>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</si>
  <si>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</si>
  <si>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</si>
  <si>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</si>
  <si>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</si>
  <si>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</si>
  <si>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</si>
  <si>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</si>
  <si>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</si>
  <si>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</si>
  <si>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</si>
  <si>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</si>
  <si>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</si>
  <si>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</si>
  <si>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</si>
  <si>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</si>
  <si>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</si>
  <si>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</si>
  <si>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</si>
  <si>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</si>
  <si>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</si>
  <si>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</si>
  <si>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</si>
  <si>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</si>
  <si>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</si>
  <si>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</si>
  <si>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</si>
  <si>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</si>
  <si>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</si>
  <si>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</si>
  <si>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</si>
  <si>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</si>
  <si>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</si>
  <si>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</si>
  <si>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</si>
  <si>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</si>
  <si>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</si>
  <si>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</si>
  <si>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</si>
  <si>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</si>
  <si>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</si>
  <si>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</si>
  <si>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</si>
  <si>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</si>
  <si>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</si>
  <si>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</si>
  <si>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</si>
  <si>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</si>
  <si>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</si>
  <si>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</si>
  <si>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</si>
  <si>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</si>
  <si>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</si>
  <si>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</si>
  <si>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</si>
  <si>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</si>
  <si>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</si>
  <si>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</si>
  <si>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</si>
  <si>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</si>
  <si>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</si>
  <si>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</si>
  <si>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</si>
  <si>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</si>
  <si>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</si>
  <si>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</si>
  <si>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</si>
  <si>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</si>
  <si>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</si>
  <si>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</si>
  <si>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</si>
  <si>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</si>
  <si>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</si>
  <si>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</si>
  <si>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</si>
  <si>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</si>
  <si>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</si>
  <si>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</si>
  <si>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</si>
  <si>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</si>
  <si>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</si>
  <si>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</si>
  <si>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</si>
  <si>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</si>
  <si>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</si>
  <si>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</si>
  <si>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</si>
  <si>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</si>
  <si>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</si>
  <si>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</si>
  <si>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</si>
  <si>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</si>
  <si>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</si>
  <si>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</si>
  <si>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</si>
  <si>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</si>
  <si>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</si>
  <si>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</si>
  <si>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</si>
  <si>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</si>
  <si>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</si>
  <si>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</si>
  <si>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</si>
  <si>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</si>
  <si>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</si>
  <si>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</si>
  <si>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</si>
  <si>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</si>
  <si>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</si>
  <si>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</si>
  <si>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</si>
  <si>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</si>
  <si>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</si>
  <si>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</si>
  <si>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</si>
  <si>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</si>
  <si>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</si>
  <si>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</si>
  <si>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</si>
  <si>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</si>
  <si>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</si>
  <si>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</si>
  <si>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</si>
  <si>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</si>
  <si>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</si>
  <si>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</si>
  <si>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</si>
  <si>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</si>
  <si>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</si>
  <si>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</si>
  <si>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</si>
  <si>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</si>
  <si>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</si>
  <si>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</si>
  <si>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</si>
  <si>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</si>
  <si>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</si>
  <si>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</si>
  <si>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</si>
  <si>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</si>
  <si>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</si>
  <si>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</si>
  <si>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</si>
  <si>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</si>
  <si>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</si>
  <si>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</si>
  <si>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</si>
  <si>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</si>
  <si>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</si>
  <si>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</si>
  <si>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</si>
  <si>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</si>
  <si>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</si>
  <si>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</si>
  <si>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</si>
  <si>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</si>
  <si>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</si>
  <si>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</si>
  <si>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</si>
  <si>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</si>
  <si>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</si>
  <si>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</si>
  <si>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</si>
  <si>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</si>
  <si>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</si>
  <si>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</si>
  <si>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</si>
  <si>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</si>
  <si>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</si>
  <si>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</si>
  <si>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</si>
  <si>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</si>
  <si>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</si>
  <si>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</si>
  <si>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</si>
  <si>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</si>
  <si>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</si>
  <si>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</si>
  <si>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</si>
  <si>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</si>
  <si>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</si>
  <si>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</si>
  <si>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</si>
  <si>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</si>
  <si>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</si>
  <si>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</si>
  <si>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</si>
  <si>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</si>
  <si>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</si>
  <si>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</si>
  <si>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</si>
  <si>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</si>
  <si>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</si>
  <si>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</si>
  <si>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</si>
  <si>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</si>
  <si>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</si>
  <si>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</si>
  <si>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</si>
  <si>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</si>
  <si>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</si>
  <si>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</si>
  <si>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</si>
  <si>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</si>
  <si>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</si>
  <si>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</si>
  <si>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</si>
  <si>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</si>
  <si>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</si>
  <si>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</si>
  <si>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</si>
  <si>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</si>
  <si>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</si>
  <si>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</si>
  <si>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</si>
  <si>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</si>
  <si>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</si>
  <si>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</si>
  <si>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</si>
  <si>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</si>
  <si>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</si>
  <si>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</si>
  <si>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</si>
  <si>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</si>
  <si>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</si>
  <si>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</si>
  <si>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</si>
  <si>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</si>
  <si>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</si>
  <si>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</si>
  <si>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</si>
  <si>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</si>
  <si>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</si>
  <si>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</si>
  <si>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</si>
  <si>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</si>
  <si>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</si>
  <si>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</si>
  <si>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</si>
  <si>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</si>
  <si>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</si>
  <si>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</si>
  <si>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</si>
  <si>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</si>
  <si>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</si>
  <si>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</si>
  <si>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</si>
  <si>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</si>
  <si>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</si>
  <si>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</si>
  <si>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</si>
  <si>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</si>
  <si>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</si>
  <si>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</si>
  <si>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</si>
  <si>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</si>
  <si>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</si>
  <si>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</si>
  <si>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</si>
  <si>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</si>
  <si>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</si>
  <si>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</si>
  <si>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</si>
  <si>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</si>
  <si>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</si>
  <si>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</si>
  <si>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</si>
  <si>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</si>
  <si>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</si>
  <si>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</si>
  <si>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</si>
  <si>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</si>
  <si>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</si>
  <si>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</si>
  <si>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</si>
  <si>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</si>
  <si>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</si>
  <si>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</si>
  <si>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</si>
  <si>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</si>
  <si>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</si>
  <si>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</si>
  <si>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</si>
  <si>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</si>
  <si>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</si>
  <si>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</si>
  <si>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</si>
  <si>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</si>
  <si>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</si>
  <si>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</si>
  <si>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</si>
  <si>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</si>
  <si>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</si>
  <si>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</si>
  <si>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</si>
  <si>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</si>
  <si>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</si>
  <si>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</si>
  <si>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</si>
  <si>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</si>
  <si>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</si>
  <si>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</si>
  <si>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</si>
  <si>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</si>
  <si>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</si>
  <si>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</si>
  <si>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</si>
  <si>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</si>
  <si>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</si>
  <si>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</si>
  <si>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</si>
  <si>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</si>
  <si>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</si>
  <si>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</si>
  <si>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</si>
  <si>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</si>
  <si>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</si>
  <si>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</si>
  <si>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</si>
  <si>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</si>
  <si>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</si>
  <si>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</si>
  <si>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</si>
  <si>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</si>
  <si>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</si>
  <si>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</si>
  <si>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</si>
  <si>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</si>
  <si>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</si>
  <si>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</si>
  <si>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</si>
  <si>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</si>
  <si>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</si>
  <si>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</si>
  <si>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</si>
  <si>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</si>
  <si>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</si>
  <si>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</si>
  <si>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</si>
  <si>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</si>
  <si>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</si>
  <si>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</si>
  <si>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</si>
  <si>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</si>
  <si>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</si>
  <si>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</si>
  <si>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</si>
  <si>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</si>
  <si>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</si>
  <si>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</si>
  <si>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</si>
  <si>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</si>
  <si>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</si>
  <si>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</si>
  <si>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</si>
  <si>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</si>
  <si>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</si>
  <si>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</si>
  <si>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</si>
  <si>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</si>
  <si>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</si>
  <si>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</si>
  <si>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</si>
  <si>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</si>
  <si>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</si>
  <si>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</si>
  <si>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</si>
  <si>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</si>
  <si>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</si>
  <si>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</si>
  <si>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</si>
  <si>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</si>
  <si>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</si>
  <si>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</si>
  <si>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</si>
  <si>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</si>
  <si>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</si>
  <si>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</si>
  <si>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</si>
  <si>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</si>
  <si>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</si>
  <si>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</si>
  <si>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</si>
  <si>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</si>
  <si>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</si>
  <si>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</si>
  <si>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</si>
  <si>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</si>
  <si>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</si>
  <si>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</si>
  <si>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</si>
  <si>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</si>
  <si>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</si>
  <si>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</si>
  <si>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</si>
  <si>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</si>
  <si>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</si>
  <si>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</si>
  <si>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</si>
  <si>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</si>
  <si>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</si>
  <si>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</si>
  <si>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</si>
  <si>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</si>
  <si>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</si>
  <si>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</si>
  <si>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</si>
  <si>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</si>
  <si>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</si>
  <si>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</si>
  <si>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</si>
  <si>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</si>
  <si>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</si>
  <si>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</si>
  <si>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</si>
  <si>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</si>
  <si>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</si>
  <si>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</si>
  <si>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</si>
  <si>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</si>
  <si>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</si>
  <si>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</si>
  <si>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</si>
  <si>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</si>
  <si>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</si>
  <si>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</si>
  <si>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</si>
  <si>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</si>
  <si>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</si>
  <si>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</si>
  <si>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</si>
  <si>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</si>
  <si>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</si>
  <si>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</si>
  <si>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</si>
  <si>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</si>
  <si>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</si>
  <si>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</si>
  <si>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</si>
  <si>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</si>
  <si>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</si>
  <si>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</si>
  <si>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</si>
  <si>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</si>
  <si>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</si>
  <si>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</si>
  <si>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</si>
  <si>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</si>
  <si>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</si>
  <si>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</si>
  <si>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</si>
  <si>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</si>
  <si>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</si>
  <si>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</si>
  <si>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</si>
  <si>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</si>
  <si>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</si>
  <si>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</si>
  <si>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</si>
  <si>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</si>
  <si>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</si>
  <si>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</si>
  <si>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</si>
  <si>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</si>
  <si>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</si>
  <si>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</si>
  <si>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</si>
  <si>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</si>
  <si>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</si>
  <si>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</si>
  <si>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</si>
  <si>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</si>
  <si>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</si>
  <si>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</si>
  <si>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</si>
  <si>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</si>
  <si>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</si>
  <si>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</si>
  <si>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</si>
  <si>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</si>
  <si>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</si>
  <si>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</si>
  <si>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</si>
  <si>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</si>
  <si>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</si>
  <si>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</si>
  <si>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</si>
  <si>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</si>
  <si>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</si>
  <si>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</si>
  <si>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</si>
  <si>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</si>
  <si>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</si>
  <si>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</si>
  <si>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</si>
  <si>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</si>
  <si>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</si>
  <si>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</si>
  <si>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</si>
  <si>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</si>
  <si>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</si>
  <si>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</si>
  <si>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</si>
  <si>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</si>
  <si>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</si>
  <si>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</si>
  <si>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</si>
  <si>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</si>
  <si>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</si>
  <si>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</si>
  <si>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</si>
  <si>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</si>
  <si>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</si>
  <si>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</si>
  <si>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</si>
  <si>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</si>
  <si>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</si>
  <si>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</si>
  <si>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</si>
  <si>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</si>
  <si>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</si>
  <si>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</si>
  <si>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</si>
  <si>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</si>
  <si>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</si>
  <si>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</si>
  <si>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</si>
  <si>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</si>
  <si>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</si>
  <si>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</si>
  <si>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</si>
  <si>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</si>
  <si>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</si>
  <si>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</si>
  <si>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</si>
  <si>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</si>
  <si>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</si>
  <si>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</si>
  <si>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</si>
  <si>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</si>
  <si>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</si>
  <si>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</si>
  <si>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</si>
  <si>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</si>
  <si>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</si>
  <si>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</si>
  <si>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</si>
  <si>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</si>
  <si>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</si>
  <si>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</si>
  <si>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</si>
  <si>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</si>
  <si>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</si>
  <si>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</si>
  <si>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</si>
  <si>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</si>
  <si>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</si>
  <si>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</si>
  <si>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</si>
  <si>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</si>
  <si>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</si>
  <si>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</si>
  <si>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</si>
  <si>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</si>
  <si>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</si>
  <si>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</si>
  <si>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</si>
  <si>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</si>
  <si>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</si>
  <si>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</si>
  <si>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</si>
  <si>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</si>
  <si>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</si>
  <si>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</si>
  <si>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</si>
  <si>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</si>
  <si>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</si>
  <si>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</si>
  <si>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</si>
  <si>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</si>
  <si>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</si>
  <si>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</si>
  <si>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</si>
  <si>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</si>
  <si>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</si>
  <si>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</si>
  <si>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</si>
  <si>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</si>
  <si>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</si>
  <si>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</si>
  <si>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</si>
  <si>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</si>
  <si>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</si>
  <si>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</si>
  <si>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</si>
  <si>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</si>
  <si>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</si>
  <si>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</si>
  <si>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</si>
  <si>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</si>
  <si>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</si>
  <si>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</si>
  <si>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</si>
  <si>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</si>
  <si>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</si>
  <si>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</si>
  <si>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</si>
  <si>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</si>
  <si>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</si>
  <si>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</si>
  <si>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</si>
  <si>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</si>
  <si>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</si>
  <si>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</si>
  <si>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</si>
  <si>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</si>
  <si>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</si>
  <si>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</si>
  <si>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</si>
  <si>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</si>
  <si>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</si>
  <si>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</si>
  <si>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</si>
  <si>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</si>
  <si>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</si>
  <si>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</si>
  <si>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</si>
  <si>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</si>
  <si>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</si>
  <si>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</si>
  <si>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</si>
  <si>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</si>
  <si>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</si>
  <si>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</si>
  <si>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</si>
  <si>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</si>
  <si>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</si>
  <si>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</si>
  <si>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</si>
  <si>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</si>
  <si>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</si>
  <si>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</si>
  <si>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</si>
  <si>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</si>
  <si>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</si>
  <si>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</si>
  <si>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</si>
  <si>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</si>
  <si>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</si>
  <si>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</si>
  <si>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</si>
  <si>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</si>
  <si>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</si>
  <si>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</si>
  <si>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</si>
  <si>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</si>
  <si>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</si>
  <si>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</si>
  <si>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</si>
  <si>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</si>
  <si>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</si>
  <si>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</si>
  <si>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</si>
  <si>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</si>
  <si>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</si>
  <si>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</si>
  <si>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</si>
  <si>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</si>
  <si>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</si>
  <si>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</si>
  <si>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</si>
  <si>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</si>
  <si>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</si>
  <si>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</si>
  <si>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</si>
  <si>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</si>
  <si>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</si>
  <si>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</si>
  <si>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</si>
  <si>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</si>
  <si>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</si>
  <si>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</si>
  <si>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</si>
  <si>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</si>
  <si>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</si>
  <si>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</si>
  <si>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</si>
  <si>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</si>
  <si>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</si>
  <si>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</si>
  <si>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</si>
  <si>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</si>
  <si>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</si>
  <si>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</si>
  <si>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</si>
  <si>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</si>
  <si>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</si>
  <si>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</si>
  <si>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</si>
  <si>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</si>
  <si>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</si>
  <si>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</si>
  <si>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</si>
  <si>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</si>
  <si>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</si>
  <si>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</si>
  <si>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</si>
  <si>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</si>
  <si>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</si>
  <si>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</si>
  <si>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</si>
  <si>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</si>
  <si>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</si>
  <si>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</si>
  <si>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</si>
  <si>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</si>
  <si>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</si>
  <si>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</si>
  <si>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</si>
  <si>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</si>
  <si>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</si>
  <si>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</si>
  <si>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</si>
  <si>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</si>
  <si>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</si>
  <si>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</si>
  <si>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</si>
  <si>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</si>
  <si>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</si>
  <si>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</si>
  <si>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</si>
  <si>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</si>
  <si>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</si>
  <si>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</si>
  <si>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</si>
  <si>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</si>
  <si>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</si>
  <si>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</si>
  <si>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</si>
  <si>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</si>
  <si>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</si>
  <si>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</si>
  <si>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</si>
  <si>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</si>
  <si>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</si>
  <si>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</si>
  <si>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</si>
  <si>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</si>
  <si>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</si>
  <si>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</si>
  <si>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</si>
  <si>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</si>
  <si>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</si>
  <si>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</si>
  <si>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</si>
  <si>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</si>
  <si>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</si>
  <si>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</si>
  <si>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</si>
  <si>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</si>
  <si>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</si>
  <si>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</si>
  <si>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</si>
  <si>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</si>
  <si>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</si>
  <si>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</si>
  <si>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</si>
  <si>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</si>
  <si>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</si>
  <si>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</si>
  <si>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</si>
  <si>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</si>
  <si>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</si>
  <si>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</si>
  <si>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</si>
  <si>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</si>
  <si>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</si>
  <si>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</si>
  <si>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</si>
  <si>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</si>
  <si>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</si>
  <si>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</si>
  <si>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</si>
  <si>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</si>
  <si>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</si>
  <si>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</si>
  <si>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</si>
  <si>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</si>
  <si>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</si>
  <si>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</si>
  <si>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</si>
  <si>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</si>
  <si>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</si>
  <si>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</si>
  <si>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</si>
  <si>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</si>
  <si>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</si>
  <si>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</si>
  <si>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</si>
  <si>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</si>
  <si>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</si>
  <si>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</si>
  <si>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</si>
  <si>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</si>
  <si>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</si>
  <si>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</si>
  <si>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</si>
  <si>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</si>
  <si>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</si>
  <si>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</si>
  <si>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</si>
  <si>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</si>
  <si>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</si>
  <si>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</si>
  <si>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</si>
  <si>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</si>
  <si>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</si>
  <si>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</si>
  <si>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</si>
  <si>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</si>
  <si>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</si>
  <si>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</si>
  <si>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</si>
  <si>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</si>
  <si>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</si>
  <si>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</si>
  <si>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</si>
  <si>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</si>
  <si>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</si>
  <si>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</si>
  <si>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</si>
  <si>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</si>
  <si>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</si>
  <si>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</si>
  <si>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</si>
  <si>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</si>
  <si>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</si>
  <si>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</si>
  <si>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</si>
  <si>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</si>
  <si>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</si>
  <si>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</si>
  <si>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</si>
  <si>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</si>
  <si>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</si>
  <si>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</si>
  <si>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</si>
  <si>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</si>
  <si>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</si>
  <si>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</si>
  <si>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</si>
  <si>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</si>
  <si>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</si>
  <si>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</si>
  <si>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</si>
  <si>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</si>
  <si>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</si>
  <si>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</si>
  <si>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</si>
  <si>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</si>
  <si>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</si>
  <si>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</si>
  <si>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</si>
  <si>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</si>
  <si>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</si>
  <si>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</si>
  <si>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</si>
  <si>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</si>
  <si>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</si>
  <si>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</si>
  <si>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</si>
  <si>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</si>
  <si>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</si>
  <si>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</si>
  <si>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</si>
  <si>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</si>
  <si>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</si>
  <si>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</si>
  <si>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</si>
  <si>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</si>
  <si>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</si>
  <si>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</si>
  <si>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</si>
  <si>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</si>
  <si>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</si>
  <si>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</si>
  <si>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</si>
  <si>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</si>
  <si>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</si>
  <si>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</si>
  <si>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</si>
  <si>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</si>
  <si>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</si>
  <si>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</si>
  <si>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</si>
  <si>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</si>
  <si>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</si>
  <si>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</si>
  <si>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</si>
  <si>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</si>
  <si>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</si>
  <si>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</si>
  <si>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</si>
  <si>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</si>
  <si>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</si>
  <si>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</si>
  <si>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</si>
  <si>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</si>
  <si>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</si>
  <si>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</si>
  <si>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</si>
  <si>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</si>
  <si>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</si>
  <si>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</si>
  <si>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</si>
  <si>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</si>
  <si>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</si>
  <si>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</si>
  <si>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</si>
  <si>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</si>
  <si>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</si>
  <si>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</si>
  <si>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</si>
  <si>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</si>
  <si>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</si>
  <si>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</si>
  <si>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</si>
  <si>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</si>
  <si>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</si>
  <si>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</si>
  <si>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</si>
  <si>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</si>
  <si>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</si>
  <si>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</si>
  <si>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</si>
  <si>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</si>
  <si>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</si>
  <si>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</si>
  <si>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</si>
  <si>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</si>
  <si>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</si>
  <si>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</si>
  <si>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</si>
  <si>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</si>
  <si>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</si>
  <si>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</si>
  <si>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</si>
  <si>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</si>
  <si>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</si>
  <si>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</si>
  <si>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</si>
  <si>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</si>
  <si>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</si>
  <si>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</si>
  <si>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</si>
  <si>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</si>
  <si>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</si>
  <si>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</si>
  <si>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</si>
  <si>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</si>
  <si>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</si>
  <si>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</si>
  <si>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</si>
  <si>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</si>
  <si>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</si>
  <si>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</si>
  <si>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</si>
  <si>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</si>
  <si>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</si>
  <si>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</si>
  <si>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</si>
  <si>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</si>
  <si>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</si>
  <si>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</si>
  <si>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</si>
  <si>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</si>
  <si>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</si>
  <si>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</si>
  <si>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</si>
  <si>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</si>
  <si>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</si>
  <si>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</si>
  <si>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</si>
  <si>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</si>
  <si>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</si>
  <si>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</si>
  <si>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</si>
  <si>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</si>
  <si>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</si>
  <si>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</si>
  <si>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</si>
  <si>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</si>
  <si>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</si>
  <si>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</si>
  <si>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</si>
  <si>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</si>
  <si>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</si>
  <si>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</si>
  <si>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</si>
  <si>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</si>
  <si>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</si>
  <si>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</si>
  <si>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</si>
  <si>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</si>
  <si>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</si>
  <si>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</si>
  <si>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</si>
  <si>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</si>
  <si>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</si>
  <si>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</si>
  <si>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</si>
  <si>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</si>
  <si>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</si>
  <si>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</si>
  <si>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</si>
  <si>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</si>
  <si>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</si>
  <si>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</si>
  <si>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</si>
  <si>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</si>
  <si>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</si>
  <si>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</si>
  <si>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</si>
  <si>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</si>
  <si>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</si>
  <si>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</si>
  <si>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</si>
  <si>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</si>
  <si>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</si>
  <si>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</si>
  <si>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</si>
  <si>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</si>
  <si>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</si>
  <si>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</si>
  <si>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</si>
  <si>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</si>
  <si>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</si>
  <si>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</si>
  <si>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</si>
  <si>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</si>
  <si>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</si>
  <si>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</si>
  <si>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</si>
  <si>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</si>
  <si>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</si>
  <si>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</si>
  <si>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</si>
  <si>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</si>
  <si>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</si>
  <si>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</si>
  <si>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</si>
  <si>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</si>
  <si>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</si>
  <si>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</si>
  <si>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</si>
  <si>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</si>
  <si>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</si>
  <si>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</si>
  <si>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</si>
  <si>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</si>
  <si>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</si>
  <si>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</si>
  <si>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</si>
  <si>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</si>
  <si>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</si>
  <si>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</si>
  <si>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</si>
  <si>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</si>
  <si>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</si>
  <si>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</si>
  <si>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</si>
  <si>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</si>
  <si>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</si>
  <si>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</si>
  <si>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</si>
  <si>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</si>
  <si>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</si>
  <si>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</si>
  <si>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</si>
  <si>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</si>
  <si>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</si>
  <si>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</si>
  <si>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</si>
  <si>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</si>
  <si>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</si>
  <si>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</si>
  <si>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</si>
  <si>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</si>
  <si>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</si>
  <si>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</si>
  <si>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</si>
  <si>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</si>
  <si>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</si>
  <si>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</si>
  <si>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</si>
  <si>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</si>
  <si>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</si>
  <si>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</si>
  <si>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</si>
  <si>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</si>
  <si>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</si>
  <si>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</si>
  <si>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</si>
  <si>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</si>
  <si>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</si>
  <si>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</si>
  <si>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</si>
  <si>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</si>
  <si>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</si>
  <si>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</si>
  <si>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</si>
  <si>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</si>
  <si>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</si>
  <si>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</si>
  <si>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</si>
  <si>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</si>
  <si>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</si>
  <si>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</si>
  <si>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</si>
  <si>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</si>
  <si>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</si>
  <si>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</si>
  <si>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</si>
  <si>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</si>
  <si>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</si>
  <si>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</si>
  <si>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</si>
  <si>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</si>
  <si>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</si>
  <si>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</si>
  <si>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</si>
  <si>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</si>
  <si>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</si>
  <si>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</si>
  <si>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</si>
  <si>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</si>
  <si>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</si>
  <si>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</si>
  <si>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</si>
  <si>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</si>
  <si>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</si>
  <si>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</si>
  <si>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</si>
  <si>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</si>
  <si>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</si>
  <si>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</si>
  <si>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</si>
  <si>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</si>
  <si>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</si>
  <si>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</si>
  <si>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</si>
  <si>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</si>
  <si>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</si>
  <si>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</si>
  <si>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</si>
  <si>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</si>
  <si>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</si>
  <si>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</si>
  <si>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</si>
  <si>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</si>
  <si>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</si>
  <si>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</si>
  <si>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</si>
  <si>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</si>
  <si>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</si>
  <si>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</si>
  <si>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</si>
  <si>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</si>
  <si>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</si>
  <si>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</si>
  <si>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</si>
  <si>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</si>
  <si>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</si>
  <si>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</si>
  <si>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</si>
  <si>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</si>
  <si>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</si>
  <si>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</si>
  <si>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</si>
  <si>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</si>
  <si>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</si>
  <si>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</si>
  <si>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</si>
  <si>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</si>
  <si>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</si>
  <si>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</si>
  <si>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</si>
  <si>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</si>
  <si>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</si>
  <si>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</si>
  <si>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</si>
  <si>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</si>
  <si>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</si>
  <si>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</si>
  <si>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</si>
  <si>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</si>
  <si>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</si>
  <si>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</si>
  <si>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</si>
  <si>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</si>
  <si>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</si>
  <si>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</si>
  <si>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</si>
  <si>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</si>
  <si>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</si>
  <si>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</si>
  <si>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</si>
  <si>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</si>
  <si>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</si>
  <si>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</si>
  <si>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</si>
  <si>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</si>
  <si>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</si>
  <si>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</si>
  <si>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</si>
  <si>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</si>
  <si>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</si>
  <si>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</si>
  <si>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</si>
  <si>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</si>
  <si>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</si>
  <si>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</si>
  <si>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</si>
  <si>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</si>
  <si>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</si>
  <si>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</si>
  <si>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</si>
  <si>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</si>
  <si>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</si>
  <si>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</si>
  <si>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</si>
  <si>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</si>
  <si>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</si>
  <si>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</si>
  <si>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</si>
  <si>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</si>
  <si>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</si>
  <si>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</si>
  <si>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</si>
  <si>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</si>
  <si>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</si>
  <si>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</si>
  <si>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</si>
  <si>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</si>
  <si>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</si>
  <si>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</si>
  <si>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</si>
  <si>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</si>
  <si>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</si>
  <si>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</si>
  <si>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</si>
  <si>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</si>
  <si>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</si>
  <si>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</si>
  <si>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</si>
  <si>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</si>
  <si>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</si>
  <si>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</si>
  <si>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</si>
  <si>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</si>
  <si>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</si>
  <si>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</si>
  <si>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</si>
  <si>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</si>
  <si>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</si>
  <si>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</si>
  <si>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</si>
  <si>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</si>
  <si>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</si>
  <si>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</si>
  <si>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</si>
  <si>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</si>
  <si>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</si>
  <si>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</si>
  <si>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</si>
  <si>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</si>
  <si>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</si>
  <si>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</si>
  <si>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</si>
  <si>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</si>
  <si>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</si>
  <si>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</si>
  <si>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</si>
  <si>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</si>
  <si>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</si>
  <si>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</si>
  <si>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</si>
  <si>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</si>
  <si>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</si>
  <si>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</si>
  <si>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</si>
  <si>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</si>
  <si>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</si>
  <si>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</si>
  <si>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</si>
  <si>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</si>
  <si>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</si>
  <si>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</si>
  <si>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</si>
  <si>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</si>
  <si>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</si>
  <si>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</si>
  <si>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</si>
  <si>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</si>
  <si>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</si>
  <si>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</si>
  <si>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</si>
  <si>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</si>
  <si>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</si>
  <si>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</si>
  <si>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</si>
  <si>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</si>
  <si>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</si>
  <si>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</si>
  <si>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</si>
  <si>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</si>
  <si>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</si>
  <si>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</si>
  <si>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</si>
  <si>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</si>
  <si>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</si>
  <si>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</si>
  <si>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</si>
  <si>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</si>
  <si>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</si>
  <si>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</si>
  <si>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</si>
  <si>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</si>
  <si>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</si>
  <si>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</si>
  <si>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</si>
  <si>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</si>
  <si>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</si>
  <si>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</si>
  <si>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</si>
  <si>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</si>
  <si>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</si>
  <si>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</si>
  <si>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</si>
  <si>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</si>
  <si>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</si>
  <si>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</si>
  <si>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</si>
  <si>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</si>
  <si>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</si>
  <si>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</si>
  <si>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</si>
  <si>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</si>
  <si>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</si>
  <si>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</si>
  <si>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</si>
  <si>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</si>
  <si>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</si>
  <si>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</si>
  <si>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</si>
  <si>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</si>
  <si>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</si>
  <si>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</si>
  <si>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</si>
  <si>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</si>
  <si>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</si>
  <si>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</si>
  <si>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</si>
  <si>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</si>
  <si>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</si>
  <si>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</si>
  <si>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</si>
  <si>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</si>
  <si>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</si>
  <si>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</si>
  <si>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</si>
  <si>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</si>
  <si>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</si>
  <si>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</si>
  <si>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</si>
  <si>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</si>
  <si>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</si>
  <si>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</si>
  <si>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</si>
  <si>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</si>
  <si>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</si>
  <si>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</si>
  <si>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</si>
  <si>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</si>
  <si>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</si>
  <si>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</si>
  <si>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</si>
  <si>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</si>
  <si>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</si>
  <si>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</si>
  <si>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</si>
  <si>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</si>
  <si>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</si>
  <si>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</si>
  <si>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</si>
  <si>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</si>
  <si>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</si>
  <si>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</si>
  <si>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</si>
  <si>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</si>
  <si>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</si>
  <si>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</si>
  <si>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</si>
  <si>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</si>
  <si>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</si>
  <si>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</si>
  <si>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</si>
  <si>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</si>
  <si>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</si>
  <si>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</si>
  <si>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</si>
  <si>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</si>
  <si>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</si>
  <si>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</si>
  <si>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</si>
  <si>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</si>
  <si>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</si>
  <si>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</si>
  <si>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</si>
  <si>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</si>
  <si>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</si>
  <si>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</si>
  <si>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</si>
  <si>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</si>
  <si>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</si>
  <si>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</si>
  <si>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</si>
  <si>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</si>
  <si>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</si>
  <si>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</si>
  <si>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</si>
  <si>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</si>
  <si>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</si>
  <si>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</si>
  <si>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</si>
  <si>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</si>
  <si>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</si>
  <si>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</si>
  <si>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</si>
  <si>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</si>
  <si>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</si>
  <si>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</si>
  <si>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</si>
  <si>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</si>
  <si>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</si>
  <si>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</si>
  <si>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</si>
  <si>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</si>
  <si>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</si>
  <si>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</si>
  <si>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</si>
  <si>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</si>
  <si>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</si>
  <si>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</si>
  <si>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</si>
  <si>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</si>
  <si>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</si>
  <si>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</si>
  <si>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</si>
  <si>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</si>
  <si>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</si>
  <si>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</si>
  <si>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</si>
  <si>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</si>
  <si>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</si>
  <si>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</si>
  <si>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</si>
  <si>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</si>
  <si>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</si>
  <si>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</si>
  <si>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</si>
  <si>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</si>
  <si>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</si>
  <si>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</si>
  <si>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</si>
  <si>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</si>
  <si>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</si>
  <si>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</si>
  <si>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</si>
  <si>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</si>
  <si>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</si>
  <si>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</si>
  <si>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</si>
  <si>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</si>
  <si>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</si>
  <si>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</si>
  <si>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</si>
  <si>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</si>
  <si>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</si>
  <si>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</si>
  <si>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</si>
  <si>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</si>
  <si>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</si>
  <si>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</si>
  <si>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</si>
  <si>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</si>
  <si>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</si>
  <si>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</si>
  <si>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</si>
  <si>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</si>
  <si>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</si>
  <si>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</si>
  <si>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</si>
  <si>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</si>
  <si>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</si>
  <si>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</si>
  <si>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</si>
  <si>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</si>
  <si>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</si>
  <si>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</si>
  <si>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</si>
  <si>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</si>
  <si>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</si>
  <si>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</si>
  <si>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</si>
  <si>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</si>
  <si>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</si>
  <si>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</si>
  <si>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</si>
  <si>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</si>
  <si>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</si>
  <si>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</si>
  <si>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</si>
  <si>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</si>
  <si>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</si>
  <si>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</si>
  <si>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</si>
  <si>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</si>
  <si>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</si>
  <si>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</si>
  <si>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</si>
  <si>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</si>
  <si>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</si>
  <si>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</si>
  <si>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</si>
  <si>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</si>
  <si>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</si>
  <si>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</si>
  <si>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</si>
  <si>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</si>
  <si>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</si>
  <si>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</si>
  <si>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</si>
  <si>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</si>
  <si>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</si>
  <si>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</si>
  <si>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</si>
  <si>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</si>
  <si>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</si>
  <si>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</si>
  <si>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</si>
  <si>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</si>
  <si>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</si>
  <si>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</si>
  <si>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</si>
  <si>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</si>
  <si>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</si>
  <si>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</si>
  <si>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</si>
  <si>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</si>
  <si>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</si>
  <si>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</si>
  <si>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</si>
  <si>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</si>
  <si>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</si>
  <si>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</si>
  <si>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</si>
  <si>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</si>
  <si>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</si>
  <si>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</si>
  <si>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</si>
  <si>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</si>
  <si>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</si>
  <si>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</si>
  <si>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</si>
  <si>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</si>
  <si>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</si>
  <si>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</si>
  <si>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</si>
  <si>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</si>
  <si>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</si>
  <si>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</si>
  <si>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</si>
  <si>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</si>
  <si>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</si>
  <si>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</si>
  <si>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</si>
  <si>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</si>
  <si>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</si>
  <si>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</si>
  <si>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</si>
  <si>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</si>
  <si>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</si>
  <si>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</si>
  <si>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</si>
  <si>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</si>
  <si>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</si>
  <si>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</si>
  <si>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</si>
  <si>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</si>
  <si>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</si>
  <si>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</si>
  <si>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</si>
  <si>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</si>
  <si>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</si>
  <si>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</si>
  <si>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</si>
  <si>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</si>
  <si>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</si>
  <si>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</si>
  <si>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</si>
  <si>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</si>
  <si>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</si>
  <si>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</si>
  <si>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</si>
  <si>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</si>
  <si>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</si>
  <si>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</si>
  <si>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</si>
  <si>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</si>
  <si>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</si>
  <si>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</si>
  <si>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</si>
  <si>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</si>
  <si>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</si>
  <si>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</si>
  <si>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</si>
  <si>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</si>
  <si>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</si>
  <si>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</si>
  <si>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</si>
  <si>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</si>
  <si>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</si>
  <si>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</si>
  <si>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</si>
  <si>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</si>
  <si>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</si>
  <si>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</si>
  <si>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</si>
  <si>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</si>
  <si>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</si>
  <si>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</si>
  <si>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</si>
  <si>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</si>
  <si>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</si>
  <si>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</si>
  <si>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</si>
  <si>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</si>
  <si>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</si>
  <si>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</si>
  <si>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</si>
  <si>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</si>
  <si>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</si>
  <si>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</si>
  <si>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</si>
  <si>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</si>
  <si>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</si>
  <si>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</si>
  <si>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</si>
  <si>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</si>
  <si>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</si>
  <si>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</si>
  <si>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</si>
  <si>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</si>
  <si>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</si>
  <si>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</si>
  <si>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</si>
  <si>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</si>
  <si>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</si>
  <si>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</si>
  <si>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</si>
  <si>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</si>
  <si>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</si>
  <si>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</si>
  <si>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</si>
  <si>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</si>
  <si>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</si>
  <si>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</si>
  <si>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</si>
  <si>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</si>
  <si>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</si>
  <si>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</si>
  <si>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</si>
  <si>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</si>
  <si>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</si>
  <si>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</si>
  <si>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</si>
  <si>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</si>
  <si>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</si>
  <si>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</si>
  <si>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</si>
  <si>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</si>
  <si>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</si>
  <si>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</si>
  <si>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</si>
  <si>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</si>
  <si>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</si>
  <si>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</si>
  <si>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</si>
  <si>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</si>
  <si>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</si>
  <si>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</si>
  <si>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</si>
  <si>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</si>
  <si>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</si>
  <si>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</si>
  <si>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</si>
  <si>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</si>
  <si>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</si>
  <si>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</si>
  <si>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</si>
  <si>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</si>
  <si>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</si>
  <si>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</si>
  <si>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</si>
  <si>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</si>
  <si>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</si>
  <si>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</si>
  <si>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</si>
  <si>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</si>
  <si>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</si>
  <si>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</si>
  <si>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</si>
  <si>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</si>
  <si>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</si>
  <si>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</si>
  <si>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</si>
  <si>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</si>
  <si>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</si>
  <si>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</si>
  <si>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</si>
  <si>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</si>
  <si>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</si>
  <si>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</si>
  <si>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</si>
  <si>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</si>
  <si>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</si>
  <si>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</si>
  <si>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</si>
  <si>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</si>
  <si>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</si>
  <si>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</si>
  <si>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</si>
  <si>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</si>
  <si>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</si>
  <si>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</si>
  <si>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</si>
  <si>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</si>
  <si>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</si>
  <si>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</si>
  <si>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</si>
  <si>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</si>
  <si>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</si>
  <si>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</si>
  <si>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</si>
  <si>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</si>
  <si>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</si>
  <si>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</si>
  <si>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</si>
  <si>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</si>
  <si>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</si>
  <si>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</si>
  <si>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</si>
  <si>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</si>
  <si>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</si>
  <si>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</si>
  <si>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</si>
  <si>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</si>
  <si>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</si>
  <si>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</si>
  <si>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</si>
  <si>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</si>
  <si>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</si>
  <si>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</si>
  <si>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</si>
  <si>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</si>
  <si>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</si>
  <si>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</si>
  <si>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</si>
  <si>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</si>
  <si>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</si>
  <si>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</si>
  <si>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</si>
  <si>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</si>
  <si>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</si>
  <si>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</si>
  <si>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</si>
  <si>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</si>
  <si>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</si>
  <si>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</si>
  <si>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</si>
  <si>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</si>
  <si>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</si>
  <si>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</si>
  <si>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</si>
  <si>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</si>
  <si>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</si>
  <si>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</si>
  <si>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</si>
  <si>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</si>
  <si>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</si>
  <si>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</si>
  <si>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</si>
  <si>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</si>
  <si>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</si>
  <si>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</si>
  <si>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</si>
  <si>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</si>
  <si>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</si>
  <si>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</si>
  <si>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</si>
  <si>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</si>
  <si>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</si>
  <si>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</si>
  <si>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</si>
  <si>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</si>
  <si>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</si>
  <si>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</si>
  <si>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</si>
  <si>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</si>
  <si>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</si>
  <si>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</si>
  <si>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</si>
  <si>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</si>
  <si>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</si>
  <si>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</si>
  <si>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</si>
  <si>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</si>
  <si>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</si>
  <si>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</si>
  <si>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</si>
  <si>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</si>
  <si>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</si>
  <si>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</si>
  <si>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</si>
  <si>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</si>
  <si>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</si>
  <si>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</si>
  <si>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</si>
  <si>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</si>
  <si>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</si>
  <si>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</si>
  <si>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</si>
  <si>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</si>
  <si>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</si>
  <si>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</si>
  <si>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</si>
  <si>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</si>
  <si>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</si>
  <si>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</si>
  <si>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</si>
  <si>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</si>
  <si>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</si>
  <si>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</si>
  <si>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</si>
  <si>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</si>
  <si>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</si>
  <si>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</si>
  <si>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</si>
  <si>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</si>
  <si>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</si>
  <si>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</si>
  <si>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</si>
  <si>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</si>
  <si>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</si>
  <si>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</si>
  <si>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</si>
  <si>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</si>
  <si>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</si>
  <si>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</si>
  <si>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</si>
  <si>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</si>
  <si>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</si>
  <si>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</si>
  <si>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</si>
  <si>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</si>
  <si>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</si>
  <si>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</si>
  <si>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</si>
  <si>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</si>
  <si>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</si>
  <si>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</si>
  <si>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</si>
  <si>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</si>
  <si>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</si>
  <si>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</si>
  <si>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</si>
  <si>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</si>
  <si>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</si>
  <si>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</si>
  <si>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</si>
  <si>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</si>
  <si>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</si>
  <si>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</si>
  <si>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</si>
  <si>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</si>
  <si>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</si>
  <si>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</si>
  <si>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</si>
  <si>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</si>
  <si>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</si>
  <si>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</si>
  <si>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</si>
  <si>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</si>
  <si>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</si>
  <si>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</si>
  <si>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</si>
  <si>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</si>
  <si>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</si>
  <si>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</si>
  <si>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</si>
  <si>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</si>
  <si>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</si>
  <si>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</si>
  <si>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</si>
  <si>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</si>
  <si>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</si>
  <si>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</si>
  <si>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</si>
  <si>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</si>
  <si>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</si>
  <si>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</si>
  <si>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</si>
  <si>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</si>
  <si>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</si>
  <si>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</si>
  <si>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</si>
  <si>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</si>
  <si>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</si>
  <si>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</si>
  <si>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</si>
  <si>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</si>
  <si>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</si>
  <si>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</si>
  <si>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</si>
  <si>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</si>
  <si>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</si>
  <si>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</si>
  <si>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</si>
  <si>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</si>
  <si>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</si>
  <si>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</si>
  <si>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</si>
  <si>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</si>
  <si>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</si>
  <si>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</si>
  <si>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</si>
  <si>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</si>
  <si>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</si>
  <si>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</si>
  <si>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</si>
  <si>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</si>
  <si>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</si>
  <si>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</si>
  <si>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</si>
  <si>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</si>
  <si>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</si>
  <si>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</si>
  <si>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</si>
  <si>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</si>
  <si>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</si>
  <si>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</si>
  <si>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</si>
  <si>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</si>
  <si>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</si>
  <si>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</si>
  <si>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</si>
  <si>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</si>
  <si>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</si>
  <si>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</si>
  <si>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</si>
  <si>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</si>
  <si>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</si>
  <si>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</si>
  <si>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</si>
  <si>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</si>
  <si>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</si>
  <si>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</si>
  <si>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</si>
  <si>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</si>
  <si>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</si>
  <si>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</si>
  <si>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</si>
  <si>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</si>
  <si>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</si>
  <si>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</si>
  <si>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</si>
  <si>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</si>
  <si>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</si>
  <si>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</si>
  <si>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</si>
  <si>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</si>
  <si>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</si>
  <si>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</si>
  <si>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</si>
  <si>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</si>
  <si>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</si>
  <si>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</si>
  <si>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</si>
  <si>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</si>
  <si>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</si>
  <si>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</si>
  <si>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</si>
  <si>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</si>
  <si>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</si>
  <si>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</si>
  <si>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</si>
  <si>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</si>
  <si>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</si>
  <si>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</si>
  <si>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</si>
  <si>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</si>
  <si>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</si>
  <si>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</si>
  <si>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</si>
  <si>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</si>
  <si>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</si>
  <si>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</si>
  <si>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</si>
  <si>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</si>
  <si>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</si>
  <si>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</si>
  <si>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</si>
  <si>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</si>
  <si>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</si>
  <si>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</si>
  <si>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</si>
  <si>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</si>
  <si>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</si>
  <si>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</si>
  <si>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</si>
  <si>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</si>
  <si>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</si>
  <si>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</si>
  <si>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</si>
  <si>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</si>
  <si>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</si>
  <si>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</si>
  <si>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</si>
  <si>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</si>
  <si>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</si>
  <si>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</si>
  <si>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</si>
  <si>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</si>
  <si>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</si>
  <si>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</si>
  <si>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</si>
  <si>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</si>
  <si>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</si>
  <si>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</si>
  <si>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</si>
  <si>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</si>
  <si>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</si>
  <si>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</si>
  <si>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</si>
  <si>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</si>
  <si>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</si>
  <si>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</si>
  <si>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</si>
  <si>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</si>
  <si>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</si>
  <si>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</si>
  <si>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</si>
  <si>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</si>
  <si>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</si>
  <si>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</si>
  <si>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</si>
  <si>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</si>
  <si>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</si>
  <si>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</si>
  <si>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</si>
  <si>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</si>
  <si>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</si>
  <si>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</si>
  <si>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</si>
  <si>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</si>
  <si>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</si>
  <si>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</si>
  <si>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</si>
  <si>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</si>
  <si>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</si>
  <si>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</si>
  <si>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</si>
  <si>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</si>
  <si>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</si>
  <si>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</si>
  <si>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</si>
  <si>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</si>
  <si>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</si>
  <si>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</si>
  <si>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</si>
  <si>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</si>
  <si>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</si>
  <si>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</si>
  <si>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</si>
  <si>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</si>
  <si>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</si>
  <si>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</si>
  <si>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</si>
  <si>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</si>
  <si>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</si>
  <si>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</si>
  <si>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</si>
  <si>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</si>
  <si>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</si>
  <si>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</si>
  <si>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</si>
  <si>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</si>
  <si>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</si>
  <si>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</si>
  <si>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</si>
  <si>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</si>
  <si>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</si>
  <si>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</si>
  <si>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</si>
  <si>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</si>
  <si>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</si>
  <si>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</si>
  <si>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</si>
  <si>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</si>
  <si>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</si>
  <si>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</si>
  <si>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</si>
  <si>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</si>
  <si>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</si>
  <si>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</si>
  <si>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</si>
  <si>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</si>
  <si>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</si>
  <si>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</si>
  <si>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</si>
  <si>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</si>
  <si>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</si>
  <si>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</si>
  <si>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</si>
  <si>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</si>
  <si>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</si>
  <si>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</si>
  <si>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</si>
  <si>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</si>
  <si>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</si>
  <si>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</si>
  <si>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</si>
  <si>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</si>
  <si>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</si>
  <si>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</si>
  <si>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</si>
  <si>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</si>
  <si>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</si>
  <si>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</si>
  <si>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</si>
  <si>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</si>
  <si>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</si>
  <si>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</si>
  <si>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</si>
  <si>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</si>
  <si>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</si>
  <si>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</si>
  <si>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</si>
  <si>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</si>
  <si>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</si>
  <si>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</si>
  <si>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</si>
  <si>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</si>
  <si>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</si>
  <si>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</si>
  <si>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</si>
  <si>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</si>
  <si>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</si>
  <si>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</si>
  <si>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</si>
  <si>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</si>
  <si>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</si>
  <si>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</si>
  <si>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</si>
  <si>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</si>
  <si>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</si>
  <si>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</si>
  <si>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</si>
  <si>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</si>
  <si>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</si>
  <si>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</si>
  <si>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</si>
  <si>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</si>
  <si>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</si>
  <si>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</si>
  <si>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</si>
  <si>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</si>
  <si>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</si>
  <si>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</si>
  <si>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</si>
  <si>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</si>
  <si>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</si>
  <si>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</si>
  <si>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</si>
  <si>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</si>
  <si>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</si>
  <si>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</si>
  <si>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</si>
  <si>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</si>
  <si>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</si>
  <si>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</si>
  <si>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</si>
  <si>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</si>
  <si>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</si>
  <si>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</si>
  <si>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</si>
  <si>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</si>
  <si>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</si>
  <si>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</si>
  <si>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</si>
  <si>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</si>
  <si>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</si>
  <si>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</si>
  <si>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</si>
  <si>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</si>
  <si>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</si>
  <si>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</si>
  <si>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</si>
  <si>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</si>
  <si>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</si>
  <si>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</si>
  <si>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</si>
  <si>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</si>
  <si>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</si>
  <si>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</si>
  <si>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</si>
  <si>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</si>
  <si>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</si>
  <si>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</si>
  <si>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</si>
  <si>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</si>
  <si>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</si>
  <si>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</si>
  <si>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</si>
  <si>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</si>
  <si>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</si>
  <si>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</si>
  <si>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</si>
  <si>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</si>
  <si>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</si>
  <si>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</si>
  <si>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</si>
  <si>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</si>
  <si>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</si>
  <si>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</si>
  <si>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</si>
  <si>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</si>
  <si>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</si>
  <si>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</si>
  <si>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</si>
  <si>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</si>
  <si>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</si>
  <si>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</si>
  <si>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</si>
  <si>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</si>
  <si>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</si>
  <si>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</si>
  <si>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</si>
  <si>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</si>
  <si>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</si>
  <si>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</si>
  <si>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</si>
  <si>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</si>
  <si>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</si>
  <si>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</si>
  <si>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</si>
  <si>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</si>
  <si>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</si>
  <si>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</si>
  <si>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</si>
  <si>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</si>
  <si>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</si>
  <si>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</si>
  <si>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</si>
  <si>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</si>
  <si>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</si>
  <si>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</si>
  <si>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</si>
  <si>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</si>
  <si>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</si>
  <si>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</si>
  <si>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</si>
  <si>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</si>
  <si>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</si>
  <si>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</si>
  <si>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</si>
  <si>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</si>
  <si>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</si>
  <si>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</si>
  <si>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</si>
  <si>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</si>
  <si>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</si>
  <si>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</si>
  <si>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</si>
  <si>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</si>
  <si>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</si>
  <si>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</si>
  <si>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</si>
  <si>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</si>
  <si>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</si>
  <si>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</si>
  <si>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</si>
  <si>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</si>
  <si>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</si>
  <si>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</si>
  <si>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</si>
  <si>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</si>
  <si>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</si>
  <si>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</si>
  <si>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</si>
  <si>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</si>
  <si>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</si>
  <si>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</si>
  <si>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</si>
  <si>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</si>
  <si>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</si>
  <si>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</si>
  <si>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</si>
  <si>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</si>
  <si>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</si>
  <si>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</si>
  <si>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</si>
  <si>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</si>
  <si>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</si>
  <si>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</si>
  <si>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</si>
  <si>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</si>
  <si>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</si>
  <si>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</si>
  <si>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</si>
  <si>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</si>
  <si>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</si>
  <si>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</si>
  <si>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</si>
  <si>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</si>
  <si>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</si>
  <si>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</si>
  <si>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</si>
  <si>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</si>
  <si>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</si>
  <si>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</si>
  <si>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</si>
  <si>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</si>
  <si>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</si>
  <si>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</si>
  <si>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</si>
  <si>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</si>
  <si>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</si>
  <si>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</si>
  <si>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</si>
  <si>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</si>
  <si>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</si>
  <si>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</si>
  <si>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</si>
  <si>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</si>
  <si>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</si>
  <si>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</si>
  <si>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</si>
  <si>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</si>
  <si>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</si>
  <si>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</si>
  <si>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</si>
  <si>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</si>
  <si>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</si>
  <si>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</si>
  <si>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</si>
  <si>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</si>
  <si>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</si>
  <si>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</si>
  <si>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</si>
  <si>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</si>
  <si>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</si>
  <si>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</si>
  <si>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</si>
  <si>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</si>
  <si>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</si>
  <si>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</si>
  <si>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</si>
  <si>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</si>
  <si>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</si>
  <si>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</si>
  <si>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</si>
  <si>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</si>
  <si>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</si>
  <si>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</si>
  <si>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</si>
  <si>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</si>
  <si>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</si>
  <si>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</si>
  <si>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</si>
  <si>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</si>
  <si>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</si>
  <si>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</si>
  <si>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</si>
  <si>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</si>
  <si>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</si>
  <si>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</si>
  <si>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</si>
  <si>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</si>
  <si>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</si>
  <si>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</si>
  <si>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</si>
  <si>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</si>
  <si>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</si>
  <si>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</si>
  <si>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</si>
  <si>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</si>
  <si>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</si>
  <si>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</si>
  <si>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</si>
  <si>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</si>
  <si>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</si>
  <si>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</si>
  <si>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</si>
  <si>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</si>
  <si>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</si>
  <si>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</si>
  <si>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</si>
  <si>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</si>
  <si>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</si>
  <si>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</si>
  <si>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</si>
  <si>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</si>
  <si>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</si>
  <si>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</si>
  <si>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</si>
  <si>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</si>
  <si>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</si>
  <si>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</si>
  <si>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</si>
  <si>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</si>
  <si>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</si>
  <si>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</si>
  <si>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</si>
  <si>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</si>
  <si>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</si>
  <si>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</si>
  <si>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</si>
  <si>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</si>
  <si>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</si>
  <si>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</si>
  <si>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</si>
  <si>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</si>
  <si>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</si>
  <si>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</si>
  <si>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</si>
  <si>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</si>
  <si>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</si>
  <si>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</si>
  <si>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</si>
  <si>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</si>
  <si>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</si>
  <si>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</si>
  <si>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</si>
  <si>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</si>
  <si>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</si>
  <si>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</si>
  <si>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</si>
  <si>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</si>
  <si>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</si>
  <si>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</si>
  <si>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</si>
  <si>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</si>
  <si>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</si>
  <si>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</si>
  <si>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</si>
  <si>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</si>
  <si>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</si>
  <si>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</si>
  <si>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</si>
  <si>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</si>
  <si>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</si>
  <si>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</si>
  <si>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</si>
  <si>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</si>
  <si>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</si>
  <si>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</si>
  <si>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</si>
  <si>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</si>
  <si>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</si>
  <si>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</si>
  <si>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</si>
  <si>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</si>
  <si>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</si>
  <si>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</si>
  <si>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</si>
  <si>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</si>
  <si>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</si>
  <si>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</si>
  <si>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</si>
  <si>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</si>
  <si>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</si>
  <si>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</si>
  <si>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</si>
  <si>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</si>
  <si>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</si>
  <si>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</si>
  <si>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</si>
  <si>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</si>
  <si>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</si>
  <si>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</si>
  <si>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</si>
  <si>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</si>
  <si>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</si>
  <si>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</si>
  <si>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</si>
  <si>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</si>
  <si>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</si>
  <si>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</si>
  <si>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</si>
  <si>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</si>
  <si>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</si>
  <si>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</si>
  <si>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</si>
  <si>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</si>
  <si>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</si>
  <si>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</si>
  <si>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</si>
  <si>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</si>
  <si>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</si>
  <si>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</si>
  <si>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</si>
  <si>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</si>
  <si>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</si>
  <si>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</si>
  <si>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</si>
  <si>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</si>
  <si>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</si>
  <si>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</si>
  <si>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</si>
  <si>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</si>
  <si>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</si>
  <si>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</si>
  <si>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</si>
  <si>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</si>
  <si>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</si>
  <si>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</si>
  <si>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</si>
  <si>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</si>
  <si>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</si>
  <si>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</si>
  <si>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</si>
  <si>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</si>
  <si>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</si>
  <si>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</si>
  <si>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</si>
  <si>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</si>
  <si>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</si>
  <si>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</si>
  <si>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</si>
  <si>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</si>
  <si>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</si>
  <si>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</si>
  <si>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</si>
  <si>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</si>
  <si>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</si>
  <si>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</si>
  <si>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</si>
  <si>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</si>
  <si>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</si>
  <si>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</si>
  <si>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</si>
  <si>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</si>
  <si>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</si>
  <si>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</si>
  <si>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</si>
  <si>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</si>
  <si>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</si>
  <si>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</si>
  <si>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</si>
  <si>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</si>
  <si>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</si>
  <si>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</si>
  <si>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</si>
  <si>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</si>
  <si>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</si>
  <si>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</si>
  <si>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</si>
  <si>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</si>
  <si>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</si>
  <si>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</si>
  <si>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</si>
  <si>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</si>
  <si>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</si>
  <si>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</si>
  <si>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</si>
  <si>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</si>
  <si>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</si>
  <si>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</si>
  <si>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</si>
  <si>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</si>
  <si>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</si>
  <si>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</si>
  <si>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</si>
  <si>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</si>
  <si>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</si>
  <si>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</si>
  <si>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</si>
  <si>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</si>
  <si>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</si>
  <si>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</si>
  <si>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</si>
  <si>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</si>
  <si>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</si>
  <si>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</si>
  <si>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</si>
  <si>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</si>
  <si>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</si>
  <si>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</si>
  <si>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</si>
  <si>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</si>
  <si>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</si>
  <si>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</si>
  <si>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</si>
  <si>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</si>
  <si>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</si>
  <si>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</si>
  <si>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</si>
  <si>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</si>
  <si>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</si>
  <si>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</si>
  <si>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</si>
  <si>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</si>
  <si>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</si>
  <si>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</si>
  <si>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</si>
  <si>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</si>
  <si>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</si>
  <si>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</si>
  <si>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</si>
  <si>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</si>
  <si>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</si>
  <si>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</si>
  <si>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</si>
  <si>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</si>
  <si>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</si>
  <si>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</si>
  <si>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</si>
  <si>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</si>
  <si>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</si>
  <si>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</si>
  <si>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</si>
  <si>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</si>
  <si>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</si>
  <si>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</si>
  <si>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</si>
  <si>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</si>
  <si>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</si>
  <si>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</si>
  <si>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</si>
  <si>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</si>
  <si>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</si>
  <si>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</si>
  <si>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</si>
  <si>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</si>
  <si>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</si>
  <si>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</si>
  <si>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</si>
  <si>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</si>
  <si>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</si>
  <si>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</si>
  <si>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</si>
  <si>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</si>
  <si>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</si>
  <si>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</si>
  <si>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</si>
  <si>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</si>
  <si>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</si>
  <si>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</si>
  <si>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</si>
  <si>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</si>
  <si>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</si>
  <si>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</si>
  <si>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</si>
  <si>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</si>
  <si>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</si>
  <si>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</si>
  <si>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</si>
  <si>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</si>
  <si>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</si>
  <si>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</si>
  <si>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</si>
  <si>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</si>
  <si>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</si>
  <si>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</si>
  <si>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</si>
  <si>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</si>
  <si>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</si>
  <si>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</si>
  <si>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</si>
  <si>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</si>
  <si>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</si>
  <si>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</si>
  <si>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</si>
  <si>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</si>
  <si>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</si>
  <si>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</si>
  <si>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</si>
  <si>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</si>
  <si>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</si>
  <si>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</si>
  <si>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</si>
  <si>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</si>
  <si>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</si>
  <si>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</si>
  <si>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</si>
  <si>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</si>
  <si>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</si>
  <si>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</si>
  <si>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</si>
  <si>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</si>
  <si>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</si>
  <si>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</si>
  <si>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</si>
  <si>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</si>
  <si>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</si>
  <si>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</si>
  <si>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</si>
  <si>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</si>
  <si>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</si>
  <si>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</si>
  <si>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</si>
  <si>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</si>
  <si>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</si>
  <si>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</si>
  <si>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</si>
  <si>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</si>
  <si>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</si>
  <si>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</si>
  <si>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</si>
  <si>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</si>
  <si>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</si>
  <si>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</si>
  <si>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</si>
  <si>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</si>
  <si>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</si>
  <si>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</si>
  <si>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</si>
  <si>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</si>
  <si>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</si>
  <si>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</si>
  <si>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</si>
  <si>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</si>
  <si>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</si>
  <si>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</si>
  <si>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</si>
  <si>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</si>
  <si>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</si>
  <si>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</si>
  <si>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</si>
  <si>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</si>
  <si>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</si>
  <si>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</si>
  <si>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</si>
  <si>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</si>
  <si>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</si>
  <si>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</si>
  <si>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</si>
  <si>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</si>
  <si>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</si>
  <si>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</si>
  <si>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</si>
  <si>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</si>
  <si>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</si>
  <si>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</si>
  <si>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</si>
  <si>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</si>
  <si>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</si>
  <si>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</si>
  <si>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</si>
  <si>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</si>
  <si>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</si>
  <si>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</si>
  <si>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</si>
  <si>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</si>
  <si>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</si>
  <si>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</si>
  <si>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</si>
  <si>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</si>
  <si>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</si>
  <si>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</si>
  <si>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</si>
  <si>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</si>
  <si>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</si>
  <si>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</si>
  <si>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</si>
  <si>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</si>
  <si>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</si>
  <si>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</si>
  <si>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</si>
  <si>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</si>
  <si>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</si>
  <si>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</si>
  <si>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</si>
  <si>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</si>
  <si>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</si>
  <si>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</si>
  <si>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</si>
  <si>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</si>
  <si>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</si>
  <si>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</si>
  <si>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</si>
  <si>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</si>
  <si>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</si>
  <si>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</si>
  <si>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</si>
  <si>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</si>
  <si>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</si>
  <si>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</si>
  <si>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</si>
  <si>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</si>
  <si>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</si>
  <si>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</si>
  <si>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</si>
  <si>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</si>
  <si>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</si>
  <si>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</si>
  <si>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</si>
  <si>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</si>
  <si>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</si>
  <si>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</si>
  <si>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</si>
  <si>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</si>
  <si>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</si>
  <si>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</si>
  <si>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</si>
  <si>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</si>
  <si>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</si>
  <si>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</si>
  <si>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</si>
  <si>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</si>
  <si>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</si>
  <si>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</si>
  <si>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</si>
  <si>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</si>
  <si>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</si>
  <si>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</si>
  <si>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</si>
  <si>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</si>
  <si>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</si>
  <si>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</si>
  <si>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</si>
  <si>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</si>
  <si>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</si>
  <si>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</si>
  <si>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</si>
  <si>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</si>
  <si>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</si>
  <si>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</si>
  <si>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</si>
  <si>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</si>
  <si>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</si>
  <si>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</si>
  <si>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</si>
  <si>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</si>
  <si>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</si>
  <si>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</si>
  <si>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</si>
  <si>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</si>
  <si>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</si>
  <si>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</si>
  <si>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</si>
  <si>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</si>
  <si>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</si>
  <si>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</si>
  <si>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</si>
  <si>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</si>
  <si>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</si>
  <si>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</si>
  <si>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</si>
  <si>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</si>
  <si>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</si>
  <si>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</si>
  <si>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</si>
  <si>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</si>
  <si>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</si>
  <si>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</si>
  <si>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</si>
  <si>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</si>
  <si>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</si>
  <si>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</si>
  <si>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</si>
  <si>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</si>
  <si>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</si>
  <si>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</si>
  <si>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</si>
  <si>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</si>
  <si>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</si>
  <si>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</si>
  <si>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</si>
  <si>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</si>
  <si>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</si>
  <si>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</si>
  <si>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</si>
  <si>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</si>
  <si>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</si>
  <si>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</si>
  <si>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</si>
  <si>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</si>
  <si>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</si>
  <si>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</si>
  <si>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</si>
  <si>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</si>
  <si>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</si>
  <si>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</si>
  <si>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</si>
  <si>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</si>
  <si>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</si>
  <si>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</si>
  <si>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</si>
  <si>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</si>
  <si>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</si>
  <si>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</si>
  <si>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</si>
  <si>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</si>
  <si>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</si>
  <si>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</si>
  <si>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</si>
  <si>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</si>
  <si>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</si>
  <si>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</si>
  <si>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</si>
  <si>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</si>
  <si>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</si>
  <si>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</si>
  <si>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</si>
  <si>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</si>
  <si>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</si>
  <si>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</si>
  <si>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</si>
  <si>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</si>
  <si>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</si>
  <si>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</si>
  <si>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</si>
  <si>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</si>
  <si>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</si>
  <si>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</si>
  <si>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</si>
  <si>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</si>
  <si>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</si>
  <si>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</si>
  <si>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</si>
  <si>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</si>
  <si>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</si>
  <si>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</si>
  <si>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</si>
  <si>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</si>
  <si>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</si>
  <si>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</si>
  <si>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</si>
  <si>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</si>
  <si>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</si>
  <si>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</si>
  <si>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</si>
  <si>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</si>
  <si>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</si>
  <si>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</si>
  <si>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</si>
  <si>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</si>
  <si>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</si>
  <si>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</si>
  <si>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</si>
  <si>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</si>
  <si>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</si>
  <si>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</si>
  <si>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</si>
  <si>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</si>
  <si>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</si>
  <si>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</si>
  <si>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</si>
  <si>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</si>
  <si>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</si>
  <si>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</si>
  <si>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</si>
  <si>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</si>
  <si>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</si>
  <si>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</si>
  <si>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</si>
  <si>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</si>
  <si>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</si>
  <si>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</si>
  <si>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</si>
  <si>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</si>
  <si>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</si>
  <si>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</si>
  <si>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</si>
  <si>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</si>
  <si>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</si>
  <si>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</si>
  <si>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</si>
  <si>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</si>
  <si>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</si>
  <si>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</si>
  <si>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</si>
  <si>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</si>
  <si>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</si>
  <si>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</si>
  <si>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</si>
  <si>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</si>
  <si>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</si>
  <si>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</si>
  <si>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</si>
  <si>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</si>
  <si>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</si>
  <si>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</si>
  <si>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</si>
  <si>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</si>
  <si>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</si>
  <si>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</si>
  <si>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</si>
  <si>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</si>
  <si>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</si>
  <si>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</si>
  <si>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</si>
  <si>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</si>
  <si>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</si>
  <si>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</si>
  <si>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</si>
  <si>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</si>
  <si>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</si>
  <si>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</si>
  <si>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</si>
  <si>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</si>
  <si>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</si>
  <si>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</si>
  <si>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</si>
  <si>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</si>
  <si>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</si>
  <si>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</si>
  <si>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</si>
  <si>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</si>
  <si>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</si>
  <si>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</si>
  <si>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</si>
  <si>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</si>
  <si>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</si>
  <si>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</si>
  <si>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</si>
  <si>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</si>
  <si>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</si>
  <si>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</si>
  <si>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</si>
  <si>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</si>
  <si>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</si>
  <si>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</si>
  <si>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</si>
  <si>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</si>
  <si>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</si>
  <si>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</si>
  <si>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</si>
  <si>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</si>
  <si>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</si>
  <si>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</si>
  <si>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</si>
  <si>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</si>
  <si>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</si>
  <si>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</si>
  <si>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</si>
  <si>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</si>
  <si>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</si>
  <si>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</si>
  <si>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</si>
  <si>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</si>
  <si>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</si>
  <si>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</si>
  <si>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</si>
  <si>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</si>
  <si>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</si>
  <si>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</si>
  <si>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</si>
  <si>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</si>
  <si>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</si>
  <si>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</si>
  <si>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</si>
  <si>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</si>
  <si>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</si>
  <si>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</si>
  <si>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</si>
  <si>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</si>
  <si>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</si>
  <si>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</si>
  <si>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</si>
  <si>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</si>
  <si>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</si>
  <si>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</si>
  <si>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</si>
  <si>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</si>
  <si>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</si>
  <si>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</si>
  <si>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</si>
  <si>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</si>
  <si>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</si>
  <si>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</si>
  <si>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</si>
  <si>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</si>
  <si>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</si>
  <si>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</si>
  <si>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</si>
  <si>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</si>
  <si>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</si>
  <si>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</si>
  <si>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</si>
  <si>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</si>
  <si>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</si>
  <si>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</si>
  <si>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</si>
  <si>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</si>
  <si>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</si>
  <si>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</si>
  <si>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</si>
  <si>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</si>
  <si>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</si>
  <si>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</si>
  <si>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</si>
  <si>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</si>
  <si>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</si>
  <si>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</si>
  <si>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</si>
  <si>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</si>
  <si>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</si>
  <si>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</si>
  <si>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</si>
  <si>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</si>
  <si>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</si>
  <si>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</si>
  <si>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</si>
  <si>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</si>
  <si>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</si>
  <si>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</si>
  <si>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</si>
  <si>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</si>
  <si>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</si>
  <si>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</si>
  <si>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</si>
  <si>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</si>
  <si>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</si>
  <si>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</si>
  <si>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</si>
  <si>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</si>
  <si>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</si>
  <si>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</si>
  <si>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</si>
  <si>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</si>
  <si>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</si>
  <si>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</si>
  <si>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</si>
  <si>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</si>
  <si>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</si>
  <si>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</si>
  <si>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</si>
  <si>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</si>
  <si>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</si>
  <si>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</si>
  <si>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</si>
  <si>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</si>
  <si>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</si>
  <si>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</si>
  <si>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</si>
  <si>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</si>
  <si>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</si>
  <si>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</si>
  <si>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</si>
  <si>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</si>
  <si>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</si>
  <si>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</si>
  <si>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</si>
  <si>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</si>
  <si>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</si>
  <si>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</si>
  <si>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</si>
  <si>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</si>
  <si>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</si>
  <si>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</si>
  <si>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</si>
  <si>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</si>
  <si>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</si>
  <si>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</si>
  <si>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</si>
  <si>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</si>
  <si>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</si>
  <si>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</si>
  <si>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</si>
  <si>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</si>
  <si>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</si>
  <si>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</si>
  <si>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</si>
  <si>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</si>
  <si>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</si>
  <si>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</si>
  <si>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</si>
  <si>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</si>
  <si>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</si>
  <si>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</si>
  <si>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</si>
  <si>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</si>
  <si>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</si>
  <si>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</si>
  <si>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</si>
  <si>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</si>
  <si>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</si>
  <si>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</si>
  <si>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</si>
  <si>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</si>
  <si>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</si>
  <si>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</si>
  <si>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</si>
  <si>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</si>
  <si>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</si>
  <si>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</si>
  <si>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</si>
  <si>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</si>
  <si>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</si>
  <si>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</si>
  <si>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</si>
  <si>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</si>
  <si>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</si>
  <si>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</si>
  <si>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</si>
  <si>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</si>
  <si>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</si>
  <si>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</si>
  <si>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</si>
  <si>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</si>
  <si>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</si>
  <si>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</si>
  <si>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</si>
  <si>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</si>
  <si>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</si>
  <si>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</si>
  <si>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</si>
  <si>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</si>
  <si>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</si>
  <si>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</si>
  <si>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</si>
  <si>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</si>
  <si>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</si>
  <si>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</si>
  <si>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</si>
  <si>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</si>
  <si>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</si>
  <si>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</si>
  <si>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</si>
  <si>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</si>
  <si>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</si>
  <si>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</si>
  <si>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</si>
  <si>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</si>
  <si>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</si>
  <si>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</si>
  <si>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</si>
  <si>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</si>
  <si>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</si>
  <si>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</si>
  <si>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</si>
  <si>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</si>
  <si>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</si>
  <si>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</si>
  <si>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</si>
  <si>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</si>
  <si>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</si>
  <si>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</si>
  <si>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</si>
  <si>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</si>
  <si>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</si>
  <si>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</si>
  <si>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</si>
  <si>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</si>
  <si>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</si>
  <si>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</si>
  <si>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</si>
  <si>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</si>
  <si>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</si>
  <si>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</si>
  <si>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</si>
  <si>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</si>
  <si>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</si>
  <si>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</si>
  <si>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</si>
  <si>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</si>
  <si>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</si>
  <si>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</si>
  <si>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</si>
  <si>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</si>
  <si>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</si>
  <si>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</si>
  <si>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</si>
  <si>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</si>
  <si>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</si>
  <si>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</si>
  <si>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</si>
  <si>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</si>
  <si>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</si>
  <si>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</si>
  <si>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</si>
  <si>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</si>
  <si>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</si>
  <si>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</si>
  <si>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</si>
  <si>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</si>
  <si>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</si>
  <si>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</si>
  <si>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</si>
  <si>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</si>
  <si>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</si>
  <si>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</si>
  <si>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</si>
  <si>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</si>
  <si>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</si>
  <si>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</si>
  <si>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</si>
  <si>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</si>
  <si>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</si>
  <si>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</si>
  <si>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</si>
  <si>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</si>
  <si>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</si>
  <si>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</si>
  <si>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</si>
  <si>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</si>
  <si>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</si>
  <si>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</si>
  <si>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</si>
  <si>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</si>
  <si>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</si>
  <si>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</si>
  <si>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</si>
  <si>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</si>
  <si>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</si>
  <si>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</si>
  <si>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</si>
  <si>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</si>
  <si>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</si>
  <si>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</si>
  <si>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</si>
  <si>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</si>
  <si>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</si>
  <si>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</si>
  <si>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</si>
  <si>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</si>
  <si>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</si>
  <si>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</si>
  <si>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</si>
  <si>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</si>
  <si>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</si>
  <si>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</si>
  <si>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</si>
  <si>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</si>
  <si>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</si>
  <si>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</si>
  <si>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</si>
  <si>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</si>
  <si>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</si>
  <si>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</si>
  <si>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</si>
  <si>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</si>
  <si>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</si>
  <si>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</si>
  <si>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</si>
  <si>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</si>
  <si>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</si>
  <si>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</si>
  <si>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</si>
  <si>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</si>
  <si>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</si>
  <si>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</si>
  <si>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</si>
  <si>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</si>
  <si>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</si>
  <si>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</si>
  <si>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</si>
  <si>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</si>
  <si>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</si>
  <si>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</si>
  <si>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</si>
  <si>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</si>
  <si>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</si>
  <si>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</si>
  <si>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</si>
  <si>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</si>
  <si>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</si>
  <si>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</si>
  <si>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</si>
  <si>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</si>
  <si>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</si>
  <si>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</si>
  <si>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</si>
  <si>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</si>
  <si>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</si>
  <si>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</si>
  <si>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</si>
  <si>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</si>
  <si>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</si>
  <si>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</si>
  <si>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</si>
  <si>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</si>
  <si>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</si>
  <si>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</si>
  <si>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</si>
  <si>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</si>
  <si>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</si>
  <si>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</si>
  <si>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</si>
  <si>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</si>
  <si>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</si>
  <si>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</si>
  <si>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</si>
  <si>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</si>
  <si>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</si>
  <si>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</si>
  <si>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</si>
  <si>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</si>
  <si>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</si>
  <si>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</si>
  <si>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</si>
  <si>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</si>
  <si>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</si>
  <si>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</si>
  <si>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</si>
  <si>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</si>
  <si>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</si>
  <si>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</si>
  <si>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</si>
  <si>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</si>
  <si>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</si>
  <si>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</si>
  <si>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</si>
  <si>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</si>
  <si>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</si>
  <si>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</si>
  <si>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</si>
  <si>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</si>
  <si>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</si>
  <si>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</si>
  <si>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</si>
  <si>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</si>
  <si>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</si>
  <si>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</si>
  <si>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</si>
  <si>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</si>
  <si>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</si>
  <si>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</si>
  <si>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</si>
  <si>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</si>
  <si>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</si>
  <si>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</si>
  <si>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</si>
  <si>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</si>
  <si>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</si>
  <si>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</si>
  <si>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</si>
  <si>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</si>
  <si>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</si>
  <si>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</si>
  <si>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</si>
  <si>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</si>
  <si>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</si>
  <si>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</si>
  <si>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</si>
  <si>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</si>
  <si>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</si>
  <si>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</si>
  <si>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</si>
  <si>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</si>
  <si>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</si>
  <si>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</si>
  <si>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</si>
  <si>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</si>
  <si>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</si>
  <si>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</si>
  <si>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</si>
  <si>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</si>
  <si>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</si>
  <si>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</si>
  <si>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</si>
  <si>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</si>
  <si>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</si>
  <si>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</si>
  <si>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</si>
  <si>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</si>
  <si>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</si>
  <si>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</si>
  <si>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</si>
  <si>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</si>
  <si>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</si>
  <si>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</si>
  <si>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</si>
  <si>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</si>
  <si>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</si>
  <si>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</si>
  <si>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</si>
  <si>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</si>
  <si>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</si>
  <si>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</si>
  <si>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</si>
  <si>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</si>
  <si>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</si>
  <si>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</si>
  <si>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</si>
  <si>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</si>
  <si>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</si>
  <si>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</si>
  <si>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</si>
  <si>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</si>
  <si>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</si>
  <si>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</si>
  <si>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</si>
  <si>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</si>
  <si>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</si>
  <si>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</si>
  <si>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</si>
  <si>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</si>
  <si>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</si>
  <si>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</si>
  <si>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</si>
  <si>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</si>
  <si>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</si>
  <si>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</si>
  <si>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</si>
  <si>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</si>
  <si>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</si>
  <si>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</si>
  <si>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</si>
  <si>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</si>
  <si>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</si>
  <si>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</si>
  <si>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</si>
  <si>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</si>
  <si>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</si>
  <si>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</si>
  <si>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</si>
  <si>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</si>
  <si>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</si>
  <si>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</si>
  <si>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</si>
  <si>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</si>
  <si>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</si>
  <si>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</si>
  <si>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</si>
  <si>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</si>
  <si>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</si>
  <si>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</si>
  <si>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</si>
  <si>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</si>
  <si>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</si>
  <si>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</si>
  <si>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</si>
  <si>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</si>
  <si>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</si>
  <si>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</si>
  <si>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</si>
  <si>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</si>
  <si>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</si>
  <si>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</si>
  <si>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</si>
  <si>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</si>
  <si>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</si>
  <si>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</si>
  <si>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</si>
  <si>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</si>
  <si>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</si>
  <si>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</si>
  <si>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</si>
  <si>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</si>
  <si>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</si>
  <si>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</si>
  <si>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</si>
  <si>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</si>
  <si>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</si>
  <si>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</si>
  <si>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</si>
  <si>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</si>
  <si>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</si>
  <si>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</si>
  <si>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</si>
  <si>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</si>
  <si>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</si>
  <si>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</si>
  <si>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</si>
  <si>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</si>
  <si>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</si>
  <si>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</si>
  <si>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</si>
  <si>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</si>
  <si>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</si>
  <si>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</si>
  <si>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</si>
  <si>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</si>
  <si>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</si>
  <si>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</si>
  <si>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</si>
  <si>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</si>
  <si>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</si>
  <si>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</si>
  <si>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</si>
  <si>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</si>
  <si>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</si>
  <si>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</si>
  <si>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</si>
  <si>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</si>
  <si>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</si>
  <si>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</si>
  <si>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</si>
  <si>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</si>
  <si>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</si>
  <si>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</si>
  <si>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</si>
  <si>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</si>
  <si>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</si>
  <si>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</si>
  <si>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</si>
  <si>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</si>
  <si>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</si>
  <si>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</si>
  <si>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</si>
  <si>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</si>
  <si>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</si>
  <si>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</si>
  <si>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</si>
  <si>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</si>
  <si>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</si>
  <si>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</si>
  <si>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</si>
  <si>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</si>
  <si>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</si>
  <si>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</si>
  <si>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</si>
  <si>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</si>
  <si>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</si>
  <si>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</si>
  <si>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</si>
  <si>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</si>
  <si>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</si>
  <si>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</si>
  <si>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</si>
  <si>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</si>
  <si>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</si>
  <si>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</si>
  <si>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</si>
  <si>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</si>
  <si>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</si>
  <si>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</si>
  <si>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</si>
  <si>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</si>
  <si>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</si>
  <si>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</si>
  <si>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</si>
  <si>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</si>
  <si>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</si>
  <si>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</si>
  <si>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</si>
  <si>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</si>
  <si>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</si>
  <si>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</si>
  <si>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</si>
  <si>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</si>
  <si>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</si>
  <si>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</si>
  <si>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</si>
  <si>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</si>
  <si>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</si>
  <si>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</si>
  <si>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</si>
  <si>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</si>
  <si>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</si>
  <si>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</si>
  <si>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</si>
  <si>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</si>
  <si>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</si>
  <si>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</si>
  <si>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</si>
  <si>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</si>
  <si>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</si>
  <si>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</si>
  <si>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</si>
  <si>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</si>
  <si>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</si>
  <si>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</si>
  <si>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</si>
  <si>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</si>
  <si>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</si>
  <si>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</si>
  <si>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</si>
  <si>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</si>
  <si>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</si>
  <si>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</si>
  <si>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</si>
  <si>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</si>
  <si>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</si>
  <si>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</si>
  <si>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</si>
  <si>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</si>
  <si>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</si>
  <si>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</si>
  <si>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</si>
  <si>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</si>
  <si>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</si>
  <si>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</si>
  <si>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</si>
  <si>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</si>
  <si>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</si>
  <si>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</si>
  <si>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</si>
  <si>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</si>
  <si>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</si>
  <si>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</si>
  <si>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</si>
  <si>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</si>
  <si>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</si>
  <si>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</si>
  <si>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</si>
  <si>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</si>
  <si>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</si>
  <si>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</si>
  <si>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</si>
  <si>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</si>
  <si>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</si>
  <si>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</si>
  <si>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</si>
  <si>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</si>
  <si>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</si>
  <si>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</si>
  <si>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</si>
  <si>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</si>
  <si>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</si>
  <si>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</si>
  <si>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</si>
  <si>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</si>
  <si>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</si>
  <si>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</si>
  <si>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</si>
  <si>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</si>
  <si>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</si>
  <si>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</si>
  <si>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</si>
  <si>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</si>
  <si>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</si>
  <si>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</si>
  <si>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</si>
  <si>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</si>
  <si>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</si>
  <si>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</si>
  <si>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</si>
  <si>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</si>
  <si>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</si>
  <si>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</si>
  <si>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</si>
  <si>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</si>
  <si>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</si>
  <si>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</si>
  <si>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</si>
  <si>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</si>
  <si>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</si>
  <si>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</si>
  <si>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</si>
  <si>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</si>
  <si>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</si>
  <si>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</si>
  <si>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</si>
  <si>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</si>
  <si>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</si>
  <si>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</si>
  <si>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</si>
  <si>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</si>
  <si>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</si>
  <si>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</si>
  <si>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</si>
  <si>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</si>
  <si>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</si>
  <si>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</si>
  <si>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</si>
  <si>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</si>
  <si>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</si>
  <si>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</si>
  <si>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</si>
  <si>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</si>
  <si>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</si>
  <si>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</si>
  <si>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</si>
  <si>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</si>
  <si>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</si>
  <si>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</si>
  <si>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</si>
  <si>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</si>
  <si>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</si>
  <si>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</si>
  <si>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</si>
  <si>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</si>
  <si>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</si>
  <si>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</si>
  <si>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</si>
  <si>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</si>
  <si>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</si>
  <si>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</si>
  <si>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</si>
  <si>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</si>
  <si>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</si>
  <si>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</si>
  <si>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</si>
  <si>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</si>
  <si>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</si>
  <si>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</si>
  <si>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</si>
  <si>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</si>
  <si>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</si>
  <si>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</si>
  <si>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</si>
  <si>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</si>
  <si>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</si>
  <si>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</si>
  <si>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</si>
  <si>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</si>
  <si>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</si>
  <si>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</si>
  <si>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</si>
  <si>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</si>
  <si>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</si>
  <si>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</si>
  <si>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</si>
  <si>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</si>
  <si>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</si>
  <si>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</si>
  <si>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</si>
  <si>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</si>
  <si>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</si>
  <si>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</si>
  <si>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</si>
  <si>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</si>
  <si>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</si>
  <si>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</si>
  <si>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</si>
  <si>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</si>
  <si>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</si>
  <si>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</si>
  <si>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</si>
  <si>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</si>
  <si>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</si>
  <si>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</si>
  <si>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</si>
  <si>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</si>
  <si>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</si>
  <si>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</si>
  <si>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</si>
  <si>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</si>
  <si>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</si>
  <si>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</si>
  <si>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</si>
  <si>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</si>
  <si>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</si>
  <si>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</si>
  <si>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</si>
  <si>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</si>
  <si>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</si>
  <si>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</si>
  <si>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</si>
  <si>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</si>
  <si>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</si>
  <si>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</si>
  <si>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</si>
  <si>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</si>
  <si>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</si>
  <si>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</si>
  <si>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</si>
  <si>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</si>
  <si>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</si>
  <si>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</si>
  <si>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</si>
  <si>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</si>
  <si>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</si>
  <si>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</si>
  <si>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</si>
  <si>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</si>
  <si>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</si>
  <si>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</si>
  <si>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</si>
  <si>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</si>
  <si>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</si>
  <si>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</si>
  <si>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</si>
  <si>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</si>
  <si>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</si>
  <si>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</si>
  <si>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</si>
  <si>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</si>
  <si>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</si>
  <si>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</si>
  <si>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</si>
  <si>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</si>
  <si>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</si>
  <si>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</si>
  <si>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</si>
  <si>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</si>
  <si>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</si>
  <si>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</si>
  <si>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</si>
  <si>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</si>
  <si>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</si>
  <si>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</si>
  <si>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</si>
  <si>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</si>
  <si>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</si>
  <si>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</si>
  <si>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</si>
  <si>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</si>
  <si>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</si>
  <si>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</si>
  <si>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</si>
  <si>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</si>
  <si>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</si>
  <si>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</si>
  <si>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</si>
  <si>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</si>
  <si>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</si>
  <si>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</si>
  <si>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</si>
  <si>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</si>
  <si>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</si>
  <si>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</si>
  <si>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</si>
  <si>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</si>
  <si>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</si>
  <si>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</si>
  <si>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</si>
  <si>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</si>
  <si>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</si>
  <si>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</si>
  <si>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</si>
  <si>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</si>
  <si>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</si>
  <si>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</si>
  <si>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</si>
  <si>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</si>
  <si>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</si>
  <si>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</si>
  <si>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</si>
  <si>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</si>
  <si>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</si>
  <si>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</si>
  <si>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</si>
  <si>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</si>
  <si>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</si>
  <si>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</si>
  <si>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</si>
  <si>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</si>
  <si>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</si>
  <si>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</si>
  <si>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</si>
  <si>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</si>
  <si>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</si>
  <si>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</si>
  <si>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</si>
  <si>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</si>
  <si>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</si>
  <si>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</si>
  <si>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</si>
  <si>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</si>
  <si>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</si>
  <si>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</si>
  <si>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</si>
  <si>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</si>
  <si>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</si>
  <si>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</si>
  <si>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</si>
  <si>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</si>
  <si>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</si>
  <si>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</si>
  <si>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</si>
  <si>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</si>
  <si>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</si>
  <si>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</si>
  <si>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</si>
  <si>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</si>
  <si>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</si>
  <si>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</si>
  <si>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</si>
  <si>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</si>
  <si>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</si>
  <si>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</si>
  <si>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</si>
  <si>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</si>
  <si>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</si>
  <si>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</si>
  <si>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</si>
  <si>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</si>
  <si>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</si>
  <si>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</si>
  <si>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</si>
  <si>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</si>
  <si>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</si>
  <si>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</si>
  <si>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</si>
  <si>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</si>
  <si>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</si>
  <si>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</si>
  <si>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</si>
  <si>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</si>
  <si>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</si>
  <si>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</si>
  <si>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</si>
  <si>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</si>
  <si>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</si>
  <si>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</si>
  <si>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</si>
  <si>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</si>
  <si>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</si>
  <si>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</si>
  <si>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</si>
  <si>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</si>
  <si>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</si>
  <si>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</si>
  <si>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</si>
  <si>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</si>
  <si>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</si>
  <si>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</si>
  <si>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</si>
  <si>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</si>
  <si>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</si>
  <si>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</si>
  <si>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</si>
  <si>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</si>
  <si>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</si>
  <si>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</si>
  <si>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</si>
  <si>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</si>
  <si>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</si>
  <si>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</si>
  <si>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</si>
  <si>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</si>
  <si>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</si>
  <si>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</si>
  <si>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</si>
  <si>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</si>
  <si>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</si>
  <si>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</si>
  <si>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</si>
  <si>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</si>
  <si>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</si>
  <si>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</si>
  <si>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</si>
  <si>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</si>
  <si>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</si>
  <si>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</si>
  <si>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</si>
  <si>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</si>
  <si>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</si>
  <si>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</si>
  <si>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</si>
  <si>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</si>
  <si>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</si>
  <si>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</si>
  <si>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</si>
  <si>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</si>
  <si>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</si>
  <si>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</si>
  <si>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</si>
  <si>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</si>
  <si>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</si>
  <si>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</si>
  <si>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</si>
  <si>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</si>
  <si>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</si>
  <si>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</si>
  <si>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</si>
  <si>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</si>
  <si>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</si>
  <si>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</si>
  <si>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</si>
  <si>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</si>
  <si>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</si>
  <si>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</si>
  <si>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</si>
  <si>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</si>
  <si>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</si>
  <si>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</si>
  <si>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</si>
  <si>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</si>
  <si>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</si>
  <si>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</si>
  <si>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</si>
  <si>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</si>
  <si>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</si>
  <si>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</si>
  <si>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</si>
  <si>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</si>
  <si>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</si>
  <si>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</si>
  <si>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</si>
  <si>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</si>
  <si>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</si>
  <si>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</si>
  <si>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</si>
  <si>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</si>
  <si>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</si>
  <si>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</si>
  <si>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</si>
  <si>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</si>
  <si>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</si>
  <si>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</si>
  <si>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</si>
  <si>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</si>
  <si>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</si>
  <si>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</si>
  <si>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</si>
  <si>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</si>
  <si>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</si>
  <si>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</si>
  <si>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</si>
  <si>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</si>
  <si>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</si>
  <si>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</si>
  <si>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</si>
  <si>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</si>
  <si>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</si>
  <si>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</si>
  <si>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</si>
  <si>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</si>
  <si>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</si>
  <si>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</si>
  <si>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</si>
  <si>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</si>
  <si>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</si>
  <si>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</si>
  <si>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</si>
  <si>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</si>
  <si>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</si>
  <si>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</si>
  <si>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</si>
  <si>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</si>
  <si>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</si>
  <si>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</si>
  <si>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</si>
  <si>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</si>
  <si>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</si>
  <si>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</si>
  <si>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</si>
  <si>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</si>
  <si>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</si>
  <si>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</si>
  <si>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</si>
  <si>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</si>
  <si>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</si>
  <si>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</si>
  <si>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</si>
  <si>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</si>
  <si>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</si>
  <si>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</si>
  <si>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</si>
  <si>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</si>
  <si>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</si>
  <si>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</si>
  <si>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</si>
  <si>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</si>
  <si>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</si>
  <si>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</si>
  <si>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</si>
  <si>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</si>
  <si>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</si>
  <si>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</si>
  <si>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</si>
  <si>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</si>
  <si>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</si>
  <si>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</si>
  <si>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</si>
  <si>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</si>
  <si>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</si>
  <si>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</si>
  <si>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</si>
  <si>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</si>
  <si>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</si>
  <si>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</si>
  <si>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</si>
  <si>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</si>
  <si>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</si>
  <si>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</si>
  <si>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</si>
  <si>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</si>
  <si>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</si>
  <si>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</si>
  <si>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</si>
  <si>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</si>
  <si>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</si>
  <si>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</si>
  <si>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</si>
  <si>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</si>
  <si>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</si>
  <si>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</si>
  <si>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</si>
  <si>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</si>
  <si>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</si>
  <si>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</si>
  <si>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</si>
  <si>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</si>
  <si>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</si>
  <si>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</si>
  <si>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</si>
  <si>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</si>
  <si>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</si>
  <si>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</si>
  <si>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</si>
  <si>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</si>
  <si>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</si>
  <si>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</si>
  <si>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</si>
  <si>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</si>
  <si>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</si>
  <si>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</si>
  <si>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</si>
  <si>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</si>
  <si>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</si>
  <si>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</si>
  <si>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</si>
  <si>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</si>
  <si>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</si>
  <si>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</si>
  <si>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</si>
  <si>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</si>
  <si>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</si>
  <si>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</si>
  <si>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</si>
  <si>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</si>
  <si>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</si>
  <si>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</si>
  <si>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</si>
  <si>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</si>
  <si>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</si>
  <si>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</si>
  <si>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</si>
  <si>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</si>
  <si>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</si>
  <si>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</si>
  <si>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</si>
  <si>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</si>
  <si>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</si>
  <si>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</si>
  <si>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</si>
  <si>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</si>
  <si>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</si>
  <si>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</si>
  <si>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</si>
  <si>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</si>
  <si>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</si>
  <si>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</si>
  <si>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</si>
  <si>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</si>
  <si>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</si>
  <si>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</si>
  <si>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</si>
  <si>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</si>
  <si>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</si>
  <si>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</si>
  <si>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</si>
  <si>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</si>
  <si>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</si>
  <si>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</si>
  <si>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</si>
  <si>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</si>
  <si>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</si>
  <si>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</si>
  <si>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</si>
  <si>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</si>
  <si>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</si>
  <si>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</si>
  <si>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</si>
  <si>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</si>
  <si>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</si>
  <si>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</si>
  <si>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</si>
  <si>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</si>
  <si>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</si>
  <si>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</si>
  <si>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</si>
  <si>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</si>
  <si>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</si>
  <si>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</si>
  <si>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</si>
  <si>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</si>
  <si>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</si>
  <si>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</si>
  <si>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</si>
  <si>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</si>
  <si>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</si>
  <si>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</si>
  <si>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</si>
  <si>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</si>
  <si>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</si>
  <si>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</si>
  <si>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</si>
  <si>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</si>
  <si>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</si>
  <si>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</si>
  <si>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</si>
  <si>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</si>
  <si>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</si>
  <si>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</si>
  <si>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</si>
  <si>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</si>
  <si>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</si>
  <si>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</si>
  <si>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</si>
  <si>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</si>
  <si>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</si>
  <si>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</si>
  <si>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</si>
  <si>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</si>
  <si>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</si>
  <si>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</si>
  <si>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</si>
  <si>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</si>
  <si>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</si>
  <si>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</si>
  <si>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</si>
  <si>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</si>
  <si>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</si>
  <si>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</si>
  <si>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</si>
  <si>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</si>
  <si>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</si>
  <si>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</si>
  <si>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</si>
  <si>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</si>
  <si>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</si>
  <si>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</si>
  <si>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</si>
  <si>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</si>
  <si>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</si>
  <si>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</si>
  <si>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</si>
  <si>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</si>
  <si>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</si>
  <si>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</si>
  <si>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</si>
  <si>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</si>
  <si>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</si>
  <si>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</si>
  <si>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</si>
  <si>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</si>
  <si>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</si>
  <si>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</si>
  <si>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</si>
  <si>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</si>
  <si>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</si>
  <si>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</si>
  <si>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</si>
  <si>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</si>
  <si>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</si>
  <si>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</si>
  <si>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</si>
  <si>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</si>
  <si>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</si>
  <si>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</si>
  <si>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</si>
  <si>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</si>
  <si>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</si>
  <si>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</si>
  <si>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</si>
  <si>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</si>
  <si>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</si>
  <si>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</si>
  <si>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</si>
  <si>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</si>
  <si>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</si>
  <si>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</si>
  <si>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</si>
  <si>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</si>
  <si>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</si>
  <si>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</si>
  <si>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</si>
  <si>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</si>
  <si>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</si>
  <si>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</si>
  <si>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</si>
  <si>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</si>
  <si>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</si>
  <si>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</si>
  <si>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</si>
  <si>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</si>
  <si>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</si>
  <si>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</si>
  <si>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</si>
  <si>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</si>
  <si>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</si>
  <si>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</si>
  <si>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</si>
  <si>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</si>
  <si>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</si>
  <si>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</si>
  <si>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</si>
  <si>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</si>
  <si>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</si>
  <si>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</si>
  <si>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</si>
  <si>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</si>
  <si>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</si>
  <si>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</si>
  <si>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</si>
  <si>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</si>
  <si>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</si>
  <si>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</si>
  <si>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</si>
  <si>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</si>
  <si>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</si>
  <si>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</si>
  <si>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</si>
  <si>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</si>
  <si>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</si>
  <si>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</si>
  <si>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</si>
  <si>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</si>
  <si>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</si>
  <si>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</si>
  <si>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</si>
  <si>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</si>
  <si>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</si>
  <si>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</si>
  <si>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</si>
  <si>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</si>
  <si>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</si>
  <si>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</si>
  <si>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</si>
  <si>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</si>
  <si>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</si>
  <si>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</si>
  <si>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</si>
  <si>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</si>
  <si>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</si>
  <si>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</si>
  <si>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</si>
  <si>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</si>
  <si>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</si>
  <si>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</si>
  <si>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</si>
  <si>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</si>
  <si>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</si>
  <si>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</si>
  <si>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</si>
  <si>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</si>
  <si>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</si>
  <si>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</si>
  <si>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</si>
  <si>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</si>
  <si>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</si>
  <si>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</si>
  <si>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</si>
  <si>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</si>
  <si>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</si>
  <si>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</si>
  <si>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</si>
  <si>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</si>
  <si>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</si>
  <si>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</si>
  <si>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</si>
  <si>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</si>
  <si>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</si>
  <si>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</si>
  <si>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</si>
  <si>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</si>
  <si>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</si>
  <si>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</si>
  <si>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</si>
  <si>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</si>
  <si>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</si>
  <si>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</si>
  <si>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</si>
  <si>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</si>
  <si>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</si>
  <si>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</si>
  <si>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</si>
  <si>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</si>
  <si>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</si>
  <si>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</si>
  <si>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</si>
  <si>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</si>
  <si>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</si>
  <si>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</si>
  <si>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</si>
  <si>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</si>
  <si>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</si>
  <si>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</si>
  <si>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</si>
  <si>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</si>
  <si>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</si>
  <si>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</si>
  <si>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</si>
  <si>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</si>
  <si>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</si>
  <si>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</si>
  <si>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</si>
  <si>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</si>
  <si>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</si>
  <si>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</si>
  <si>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</si>
  <si>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</si>
  <si>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</si>
  <si>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</si>
  <si>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</si>
  <si>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</si>
  <si>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</si>
  <si>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</si>
  <si>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</si>
  <si>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</si>
  <si>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</si>
  <si>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</si>
  <si>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</si>
  <si>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</si>
  <si>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</si>
  <si>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</si>
  <si>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</si>
  <si>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</si>
  <si>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</si>
  <si>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</si>
  <si>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</si>
  <si>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</si>
  <si>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</si>
  <si>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</si>
  <si>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</si>
  <si>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</si>
  <si>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</si>
  <si>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</si>
  <si>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</si>
  <si>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</si>
  <si>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</si>
  <si>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</si>
  <si>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</si>
  <si>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</si>
  <si>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</si>
  <si>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</si>
  <si>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</si>
  <si>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</si>
  <si>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</si>
  <si>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</si>
  <si>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</si>
  <si>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</si>
  <si>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</si>
  <si>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</si>
  <si>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</si>
  <si>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</si>
  <si>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</si>
  <si>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</si>
  <si>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</si>
  <si>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</si>
  <si>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</si>
  <si>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</si>
  <si>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</si>
  <si>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</si>
  <si>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</si>
  <si>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</si>
  <si>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</si>
  <si>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</si>
  <si>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</si>
  <si>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</si>
  <si>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</si>
  <si>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</si>
  <si>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</si>
  <si>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</si>
  <si>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</si>
  <si>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</si>
  <si>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</si>
  <si>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</si>
  <si>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</si>
  <si>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</si>
  <si>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</si>
  <si>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</si>
  <si>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</si>
  <si>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</si>
  <si>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</si>
  <si>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</si>
  <si>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</si>
  <si>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</si>
  <si>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</si>
  <si>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</si>
  <si>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</si>
  <si>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</si>
  <si>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</si>
  <si>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</si>
  <si>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</si>
  <si>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</si>
  <si>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</si>
  <si>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</si>
  <si>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</si>
  <si>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</si>
  <si>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</si>
  <si>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</si>
  <si>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</si>
  <si>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</si>
  <si>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</si>
  <si>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</si>
  <si>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</si>
  <si>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</si>
  <si>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</si>
  <si>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</si>
  <si>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</si>
  <si>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</si>
  <si>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</si>
  <si>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</si>
  <si>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</si>
  <si>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</si>
  <si>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</si>
  <si>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</si>
  <si>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</si>
  <si>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</si>
  <si>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</si>
  <si>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</si>
  <si>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</si>
  <si>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</si>
  <si>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</si>
  <si>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</si>
  <si>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</si>
  <si>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</si>
  <si>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</si>
  <si>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</si>
  <si>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</si>
  <si>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</si>
  <si>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</si>
  <si>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</si>
  <si>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</si>
  <si>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</si>
  <si>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</si>
  <si>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</si>
  <si>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</si>
  <si>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</si>
  <si>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</si>
  <si>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</si>
  <si>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</si>
  <si>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</si>
  <si>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</si>
  <si>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</si>
  <si>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</si>
  <si>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</si>
  <si>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</si>
  <si>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</si>
  <si>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</si>
  <si>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</si>
  <si>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</si>
  <si>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</si>
  <si>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</si>
  <si>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</si>
  <si>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</si>
  <si>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</si>
  <si>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</si>
  <si>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</si>
  <si>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</si>
  <si>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</si>
  <si>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</si>
  <si>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</si>
  <si>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</si>
  <si>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</si>
  <si>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</si>
  <si>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</si>
  <si>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</si>
  <si>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</si>
  <si>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</si>
  <si>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</si>
  <si>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</si>
  <si>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</si>
  <si>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</si>
  <si>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</si>
  <si>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</si>
  <si>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</si>
  <si>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</si>
  <si>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</si>
  <si>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</si>
  <si>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</si>
  <si>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</si>
  <si>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</si>
  <si>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</si>
  <si>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</si>
  <si>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</si>
  <si>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</si>
  <si>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</si>
  <si>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</si>
  <si>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</si>
  <si>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</si>
  <si>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</si>
  <si>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</si>
  <si>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</si>
  <si>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</si>
  <si>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</si>
  <si>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</si>
  <si>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</si>
  <si>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</si>
  <si>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</si>
  <si>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</si>
  <si>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</si>
  <si>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</si>
  <si>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</si>
  <si>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</si>
  <si>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</si>
  <si>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</si>
  <si>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</si>
  <si>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</si>
  <si>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</si>
  <si>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</si>
  <si>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</si>
  <si>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</si>
  <si>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</si>
  <si>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</si>
  <si>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</si>
  <si>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</si>
  <si>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</si>
  <si>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</si>
  <si>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</si>
  <si>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</si>
  <si>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</si>
  <si>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</si>
  <si>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</si>
  <si>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</si>
  <si>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</si>
  <si>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</si>
  <si>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</si>
  <si>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</si>
  <si>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</si>
  <si>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</si>
  <si>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</si>
  <si>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</si>
  <si>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</si>
  <si>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</si>
  <si>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</si>
  <si>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</si>
  <si>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</si>
  <si>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</si>
  <si>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</si>
  <si>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</si>
  <si>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</si>
  <si>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</si>
  <si>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</si>
  <si>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</si>
  <si>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</si>
  <si>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</si>
  <si>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</si>
  <si>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</si>
  <si>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</si>
  <si>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</si>
  <si>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</si>
  <si>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</si>
  <si>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</si>
  <si>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</si>
  <si>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</si>
  <si>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</si>
  <si>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</si>
  <si>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</si>
  <si>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</si>
  <si>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</si>
  <si>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</si>
  <si>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</si>
  <si>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</si>
  <si>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</si>
  <si>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</si>
  <si>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</si>
  <si>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</si>
  <si>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</si>
  <si>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</si>
  <si>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</si>
  <si>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</si>
  <si>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</si>
  <si>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</si>
  <si>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</si>
  <si>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</si>
  <si>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</si>
  <si>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</si>
  <si>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</si>
  <si>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</si>
  <si>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</si>
  <si>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</si>
  <si>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</si>
  <si>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</si>
  <si>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</si>
  <si>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</si>
  <si>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</si>
  <si>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</si>
  <si>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</si>
  <si>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</si>
  <si>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</si>
  <si>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</si>
  <si>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</si>
  <si>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</si>
  <si>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</si>
  <si>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</si>
  <si>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</si>
  <si>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</si>
  <si>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</si>
  <si>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</si>
  <si>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</si>
  <si>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</si>
  <si>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</si>
  <si>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</si>
  <si>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</si>
  <si>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</si>
  <si>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</si>
  <si>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</si>
  <si>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</si>
  <si>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</si>
  <si>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</si>
  <si>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</si>
  <si>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</si>
  <si>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</si>
  <si>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</si>
  <si>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</si>
  <si>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</si>
  <si>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</si>
  <si>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</si>
  <si>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</si>
  <si>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</si>
  <si>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</si>
  <si>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</si>
  <si>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</si>
  <si>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</si>
  <si>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</si>
  <si>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</si>
  <si>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</si>
  <si>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</si>
  <si>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</si>
  <si>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</si>
  <si>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</si>
  <si>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</si>
  <si>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</si>
  <si>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</si>
  <si>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</si>
  <si>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</si>
  <si>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</si>
  <si>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</si>
  <si>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</si>
  <si>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</si>
  <si>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</si>
  <si>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</si>
  <si>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</si>
  <si>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</si>
  <si>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</si>
  <si>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</si>
  <si>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</si>
  <si>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</si>
  <si>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</si>
  <si>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</si>
  <si>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</si>
  <si>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</si>
  <si>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</si>
  <si>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</si>
  <si>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</si>
  <si>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</si>
  <si>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</si>
  <si>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</si>
  <si>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</si>
  <si>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</si>
  <si>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</si>
  <si>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</si>
  <si>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</si>
  <si>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</si>
  <si>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</si>
  <si>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</si>
  <si>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</si>
  <si>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</si>
  <si>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</si>
  <si>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</si>
  <si>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</si>
  <si>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</si>
  <si>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</si>
  <si>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</si>
  <si>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</si>
  <si>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</si>
  <si>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</si>
  <si>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</si>
  <si>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</si>
  <si>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</si>
  <si>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</si>
  <si>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</si>
  <si>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</si>
  <si>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</si>
  <si>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</si>
  <si>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</si>
  <si>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</si>
  <si>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</si>
  <si>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</si>
  <si>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</si>
  <si>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</si>
  <si>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</si>
  <si>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</si>
  <si>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</si>
  <si>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</si>
  <si>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</si>
  <si>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</si>
  <si>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</si>
  <si>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</si>
  <si>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</si>
  <si>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</si>
  <si>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</si>
  <si>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</si>
  <si>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</si>
  <si>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</si>
  <si>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</si>
  <si>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</si>
  <si>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</si>
  <si>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</si>
  <si>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</si>
  <si>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</si>
  <si>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</si>
  <si>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</si>
  <si>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</si>
  <si>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</si>
  <si>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</si>
  <si>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</si>
  <si>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</si>
  <si>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</si>
  <si>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</si>
  <si>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</si>
  <si>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</si>
  <si>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</si>
  <si>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</si>
  <si>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</si>
  <si>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</si>
  <si>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</si>
  <si>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</si>
  <si>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</si>
  <si>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</si>
  <si>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</si>
  <si>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</si>
  <si>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</si>
  <si>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</si>
  <si>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</si>
  <si>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</si>
  <si>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</si>
  <si>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</si>
  <si>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</si>
  <si>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</si>
  <si>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</si>
  <si>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</si>
  <si>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</si>
  <si>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</si>
  <si>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</si>
  <si>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</si>
  <si>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</si>
  <si>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</si>
  <si>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</si>
  <si>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</si>
  <si>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</si>
  <si>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</si>
  <si>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</si>
  <si>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</si>
  <si>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</si>
  <si>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</si>
  <si>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</si>
  <si>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</si>
  <si>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</si>
  <si>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</si>
  <si>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</si>
  <si>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</si>
  <si>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</si>
  <si>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</si>
  <si>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</si>
  <si>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</si>
  <si>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</si>
  <si>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</si>
  <si>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</si>
  <si>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</si>
  <si>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</si>
  <si>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</si>
  <si>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</si>
  <si>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</si>
  <si>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</si>
  <si>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</si>
  <si>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</si>
  <si>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</si>
  <si>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</si>
  <si>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</si>
  <si>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</si>
  <si>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</si>
  <si>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</si>
  <si>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</si>
  <si>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</si>
  <si>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</si>
  <si>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</si>
  <si>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</si>
  <si>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</si>
  <si>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</si>
  <si>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</si>
  <si>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</si>
  <si>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</si>
  <si>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</si>
  <si>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</si>
  <si>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</si>
  <si>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</si>
  <si>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</si>
  <si>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</si>
  <si>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</si>
  <si>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</si>
  <si>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</si>
  <si>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</si>
  <si>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</si>
  <si>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</si>
  <si>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</si>
  <si>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</si>
  <si>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</si>
  <si>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</si>
  <si>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</si>
  <si>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</si>
  <si>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</si>
  <si>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</si>
  <si>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</si>
  <si>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</si>
  <si>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</si>
  <si>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</si>
  <si>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</si>
  <si>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</si>
  <si>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</si>
  <si>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</si>
  <si>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</si>
  <si>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</si>
  <si>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</si>
  <si>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</si>
  <si>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</si>
  <si>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</si>
  <si>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</si>
  <si>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</si>
  <si>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</si>
  <si>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</si>
  <si>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</si>
  <si>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</si>
  <si>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</si>
  <si>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</si>
  <si>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</si>
  <si>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</si>
  <si>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</si>
  <si>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</si>
  <si>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</si>
  <si>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</si>
  <si>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</si>
  <si>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</si>
  <si>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</si>
  <si>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</si>
  <si>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</si>
  <si>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</si>
  <si>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</si>
  <si>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</si>
  <si>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</si>
  <si>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</si>
  <si>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</si>
  <si>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</si>
  <si>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</si>
  <si>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</si>
  <si>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</si>
  <si>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</si>
  <si>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</si>
  <si>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</si>
  <si>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</si>
  <si>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</si>
  <si>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</si>
  <si>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</si>
  <si>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</si>
  <si>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</si>
  <si>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</si>
  <si>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</si>
  <si>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</si>
  <si>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</si>
  <si>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</si>
  <si>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</si>
  <si>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</si>
  <si>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</si>
  <si>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</si>
  <si>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</si>
  <si>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</si>
  <si>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</si>
  <si>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</si>
  <si>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</si>
  <si>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</si>
  <si>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</si>
  <si>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</si>
  <si>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</si>
  <si>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</si>
  <si>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</si>
  <si>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</si>
  <si>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</si>
  <si>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</si>
  <si>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</si>
  <si>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</si>
  <si>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</si>
  <si>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</si>
  <si>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</si>
  <si>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</si>
  <si>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</si>
  <si>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</si>
  <si>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</si>
  <si>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</si>
  <si>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</si>
  <si>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</si>
  <si>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</si>
  <si>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</si>
  <si>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</si>
  <si>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</si>
  <si>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</si>
  <si>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</si>
  <si>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</si>
  <si>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</si>
  <si>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</si>
  <si>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</si>
  <si>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</si>
  <si>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</si>
  <si>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</si>
  <si>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</si>
  <si>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</si>
  <si>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</si>
  <si>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</si>
  <si>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</si>
  <si>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</si>
  <si>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</si>
  <si>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</si>
  <si>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</si>
  <si>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</si>
  <si>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</si>
  <si>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</si>
  <si>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</si>
  <si>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</si>
  <si>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</si>
  <si>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</si>
  <si>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</si>
  <si>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</si>
  <si>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</si>
  <si>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</si>
  <si>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</si>
  <si>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</si>
  <si>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</si>
  <si>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</si>
  <si>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</si>
  <si>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</si>
  <si>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</si>
  <si>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</si>
  <si>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</si>
  <si>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</si>
  <si>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</si>
  <si>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</si>
  <si>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</si>
  <si>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</si>
  <si>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</si>
  <si>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</si>
  <si>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</si>
  <si>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</si>
  <si>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</si>
  <si>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</si>
  <si>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</si>
  <si>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</si>
  <si>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</si>
  <si>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</si>
  <si>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</si>
  <si>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</si>
  <si>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</si>
  <si>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</si>
  <si>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</si>
  <si>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</si>
  <si>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</si>
  <si>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</si>
  <si>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</si>
  <si>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</si>
  <si>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</si>
  <si>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</si>
  <si>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</si>
  <si>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</si>
  <si>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</si>
  <si>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</si>
  <si>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</si>
  <si>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</si>
  <si>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</si>
  <si>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</si>
  <si>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</si>
  <si>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</si>
  <si>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</si>
  <si>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</si>
  <si>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</si>
  <si>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</si>
  <si>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</si>
  <si>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</si>
  <si>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</si>
  <si>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</si>
  <si>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</si>
  <si>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</si>
  <si>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</si>
  <si>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</si>
  <si>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</si>
  <si>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</si>
  <si>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</si>
  <si>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</si>
  <si>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</si>
  <si>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</si>
  <si>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</si>
  <si>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</si>
  <si>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</si>
  <si>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</si>
  <si>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</si>
  <si>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</si>
  <si>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</si>
  <si>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</si>
  <si>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</si>
  <si>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</si>
  <si>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</si>
  <si>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</si>
  <si>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</si>
  <si>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</si>
  <si>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</si>
  <si>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</si>
  <si>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</si>
  <si>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</si>
  <si>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</si>
  <si>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</si>
  <si>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</si>
  <si>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</si>
  <si>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</si>
  <si>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</si>
  <si>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</si>
  <si>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</si>
  <si>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</si>
  <si>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</si>
  <si>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</si>
  <si>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</si>
  <si>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</si>
  <si>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</si>
  <si>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</si>
  <si>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</si>
  <si>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</si>
  <si>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</si>
  <si>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</si>
  <si>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</si>
  <si>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</si>
  <si>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</si>
  <si>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</si>
  <si>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</si>
  <si>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</si>
  <si>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</si>
  <si>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</si>
  <si>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</si>
  <si>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</si>
  <si>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</si>
  <si>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</si>
  <si>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</si>
  <si>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</si>
  <si>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</si>
  <si>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</si>
  <si>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</si>
  <si>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</si>
  <si>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</si>
  <si>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</si>
  <si>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</si>
  <si>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</si>
  <si>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</si>
  <si>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</si>
  <si>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</si>
  <si>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</si>
  <si>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</si>
  <si>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</si>
  <si>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</si>
  <si>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</si>
  <si>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</si>
  <si>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</si>
  <si>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</si>
  <si>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</si>
  <si>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</si>
  <si>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</si>
  <si>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</si>
  <si>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</si>
  <si>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</si>
  <si>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</si>
  <si>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</si>
  <si>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</si>
  <si>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</si>
  <si>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</si>
  <si>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</si>
  <si>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</si>
  <si>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</si>
  <si>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</si>
  <si>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</si>
  <si>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</si>
  <si>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</si>
  <si>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</si>
  <si>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</si>
  <si>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</si>
  <si>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</si>
  <si>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</si>
  <si>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</si>
  <si>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</si>
  <si>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</si>
  <si>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</si>
  <si>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</si>
  <si>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</si>
  <si>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</si>
  <si>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</si>
  <si>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</si>
  <si>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</si>
  <si>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</si>
  <si>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</si>
  <si>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</si>
  <si>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</si>
  <si>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</si>
  <si>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</si>
  <si>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</si>
  <si>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</si>
  <si>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</si>
  <si>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</si>
  <si>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</si>
  <si>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</si>
  <si>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</si>
  <si>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</si>
  <si>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</si>
  <si>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</si>
  <si>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</si>
  <si>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</si>
  <si>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</si>
  <si>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</si>
  <si>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</si>
  <si>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</si>
  <si>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</si>
  <si>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</si>
  <si>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</si>
  <si>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</si>
  <si>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</si>
  <si>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</si>
  <si>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</si>
  <si>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</si>
  <si>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</si>
  <si>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</si>
  <si>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</si>
  <si>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</si>
  <si>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</si>
  <si>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</si>
  <si>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</si>
  <si>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</si>
  <si>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</si>
  <si>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</si>
  <si>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</si>
  <si>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</si>
  <si>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</si>
  <si>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</si>
  <si>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</si>
  <si>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</si>
  <si>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</si>
  <si>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</si>
  <si>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</si>
  <si>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</si>
  <si>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</si>
  <si>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</si>
  <si>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</si>
  <si>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</si>
  <si>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</si>
  <si>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</si>
  <si>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</si>
  <si>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</si>
  <si>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</si>
  <si>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</si>
  <si>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</si>
  <si>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</si>
  <si>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</si>
  <si>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</si>
  <si>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</si>
  <si>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</si>
  <si>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</si>
  <si>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</si>
  <si>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</si>
  <si>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</si>
  <si>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</si>
  <si>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</si>
  <si>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</si>
  <si>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</si>
  <si>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</si>
  <si>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</si>
  <si>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</si>
  <si>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</si>
  <si>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</si>
  <si>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</si>
  <si>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</si>
  <si>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</si>
  <si>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</si>
  <si>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</si>
  <si>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</si>
  <si>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</si>
  <si>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</si>
  <si>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</si>
  <si>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</si>
  <si>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</si>
  <si>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</si>
  <si>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</si>
  <si>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</si>
  <si>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</si>
  <si>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</si>
  <si>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</si>
  <si>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</si>
  <si>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</si>
  <si>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</si>
  <si>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</si>
  <si>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</si>
  <si>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</si>
  <si>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</si>
  <si>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</si>
  <si>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</si>
  <si>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</si>
  <si>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</si>
  <si>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</si>
  <si>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</si>
  <si>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</si>
  <si>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</si>
  <si>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</si>
  <si>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</si>
  <si>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</si>
  <si>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</si>
  <si>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</si>
  <si>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</si>
  <si>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</si>
  <si>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</si>
  <si>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</si>
  <si>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</si>
  <si>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</si>
  <si>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</si>
  <si>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</si>
  <si>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</si>
  <si>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</si>
  <si>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</si>
  <si>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</si>
  <si>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</si>
  <si>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</si>
  <si>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</si>
  <si>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</si>
  <si>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</si>
  <si>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</si>
  <si>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</si>
  <si>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</si>
  <si>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</si>
  <si>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</si>
  <si>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</si>
  <si>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</si>
  <si>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</si>
  <si>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</si>
  <si>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</si>
  <si>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</si>
  <si>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</si>
  <si>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</si>
  <si>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</si>
  <si>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</si>
  <si>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</si>
  <si>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</si>
  <si>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</si>
  <si>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</si>
  <si>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</si>
  <si>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</si>
  <si>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</si>
  <si>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</si>
  <si>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</si>
  <si>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</si>
  <si>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</si>
  <si>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</si>
  <si>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</si>
  <si>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</si>
  <si>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</si>
  <si>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</si>
  <si>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</si>
  <si>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</si>
  <si>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</si>
  <si>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</si>
  <si>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</si>
  <si>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</si>
  <si>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</si>
  <si>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</si>
  <si>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</si>
  <si>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</si>
  <si>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</si>
  <si>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</si>
  <si>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</si>
  <si>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</si>
  <si>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</si>
  <si>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</si>
  <si>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</si>
  <si>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</si>
  <si>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</si>
  <si>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</si>
  <si>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</si>
  <si>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</si>
  <si>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</si>
  <si>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</si>
  <si>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</si>
  <si>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</si>
  <si>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</si>
  <si>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</si>
  <si>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</si>
  <si>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</si>
  <si>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</si>
  <si>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</si>
  <si>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</si>
  <si>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</si>
  <si>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</si>
  <si>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</si>
  <si>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</si>
  <si>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</si>
  <si>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</si>
  <si>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</si>
  <si>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</si>
  <si>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</si>
  <si>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</si>
  <si>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</si>
  <si>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</si>
  <si>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</si>
  <si>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</si>
  <si>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</si>
  <si>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</si>
  <si>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</si>
  <si>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</si>
  <si>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</si>
  <si>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</si>
  <si>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</si>
  <si>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</si>
  <si>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</si>
  <si>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</si>
  <si>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</si>
  <si>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</si>
  <si>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</si>
  <si>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</si>
  <si>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</si>
  <si>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</si>
  <si>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</si>
  <si>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</si>
  <si>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</si>
  <si>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</si>
  <si>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</si>
  <si>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</si>
  <si>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</si>
  <si>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</si>
  <si>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</si>
  <si>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</si>
  <si>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</si>
  <si>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</si>
  <si>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</si>
  <si>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</si>
  <si>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</si>
  <si>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</si>
  <si>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</si>
  <si>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</si>
  <si>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</si>
  <si>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</si>
  <si>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</si>
  <si>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</si>
  <si>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</si>
  <si>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</si>
  <si>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</si>
  <si>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</si>
  <si>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</si>
  <si>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</si>
  <si>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</si>
  <si>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</si>
  <si>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</si>
  <si>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</si>
  <si>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</si>
  <si>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</si>
  <si>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</si>
  <si>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</si>
  <si>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</si>
  <si>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</si>
  <si>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</si>
  <si>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</si>
  <si>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</si>
  <si>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</si>
  <si>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</si>
  <si>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</si>
  <si>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</si>
  <si>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</si>
  <si>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</si>
  <si>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</si>
  <si>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</si>
  <si>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</si>
  <si>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</si>
  <si>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</si>
  <si>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</si>
  <si>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</si>
  <si>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</si>
  <si>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</si>
  <si>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</si>
  <si>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</si>
  <si>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</si>
  <si>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</si>
  <si>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</si>
  <si>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</si>
  <si>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</si>
  <si>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</si>
  <si>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</si>
  <si>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</si>
  <si>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</si>
  <si>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</si>
  <si>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</si>
  <si>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</si>
  <si>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</si>
  <si>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</si>
  <si>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</si>
  <si>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</si>
  <si>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</si>
  <si>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</si>
  <si>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</si>
  <si>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</si>
  <si>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</si>
  <si>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</si>
  <si>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</si>
  <si>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</si>
  <si>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</si>
  <si>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</si>
  <si>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</si>
  <si>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</si>
  <si>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</si>
  <si>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</si>
  <si>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</si>
  <si>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</si>
  <si>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</si>
  <si>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</si>
  <si>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</si>
  <si>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</si>
  <si>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</si>
  <si>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</si>
  <si>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</si>
  <si>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</si>
  <si>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</si>
  <si>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</si>
  <si>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</si>
  <si>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</si>
  <si>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</si>
  <si>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</si>
  <si>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</si>
  <si>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</si>
  <si>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</si>
  <si>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</si>
  <si>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</si>
  <si>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</si>
  <si>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</si>
  <si>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</si>
  <si>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</si>
  <si>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</si>
  <si>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</si>
  <si>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</si>
  <si>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</si>
  <si>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</si>
  <si>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</si>
  <si>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</si>
  <si>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</si>
  <si>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</si>
  <si>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</si>
  <si>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</si>
  <si>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</si>
  <si>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</si>
  <si>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</si>
  <si>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</si>
  <si>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</si>
  <si>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</si>
  <si>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</si>
  <si>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</si>
  <si>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</si>
  <si>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</si>
  <si>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</si>
  <si>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</si>
  <si>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</si>
  <si>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</si>
  <si>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</si>
  <si>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</si>
  <si>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</si>
  <si>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</si>
  <si>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</si>
  <si>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</si>
  <si>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</si>
  <si>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</si>
  <si>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</si>
  <si>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</si>
  <si>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</si>
  <si>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</si>
  <si>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</si>
  <si>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</si>
  <si>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</si>
  <si>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</si>
  <si>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</si>
  <si>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</si>
  <si>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</si>
  <si>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</si>
  <si>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</si>
  <si>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</si>
  <si>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</si>
  <si>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</si>
  <si>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</si>
  <si>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</si>
  <si>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</si>
  <si>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</si>
  <si>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</si>
  <si>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</si>
  <si>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</si>
  <si>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</si>
  <si>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</si>
  <si>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</si>
  <si>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</si>
  <si>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</si>
  <si>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</si>
  <si>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</si>
  <si>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</si>
  <si>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</si>
  <si>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</si>
  <si>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</si>
  <si>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</si>
  <si>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</si>
  <si>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</si>
  <si>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</si>
  <si>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</si>
  <si>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</si>
  <si>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</si>
  <si>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</si>
  <si>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</si>
  <si>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</si>
  <si>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</si>
  <si>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</si>
  <si>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</si>
  <si>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</si>
  <si>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</si>
  <si>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</si>
  <si>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</si>
  <si>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</si>
  <si>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</si>
  <si>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</si>
  <si>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</si>
  <si>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</si>
  <si>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</si>
  <si>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</si>
  <si>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</si>
  <si>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</si>
  <si>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</si>
  <si>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</si>
  <si>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</si>
  <si>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</si>
  <si>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</si>
  <si>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</si>
  <si>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</si>
  <si>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</si>
  <si>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</si>
  <si>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</si>
  <si>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</si>
  <si>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</si>
  <si>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</si>
  <si>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</si>
  <si>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</si>
  <si>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</si>
  <si>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</si>
  <si>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</si>
  <si>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</si>
  <si>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</si>
  <si>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</si>
  <si>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</si>
  <si>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</si>
  <si>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</si>
  <si>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</si>
  <si>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</si>
  <si>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</si>
  <si>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</si>
  <si>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</si>
  <si>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</si>
  <si>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</si>
  <si>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</si>
  <si>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</si>
  <si>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</si>
  <si>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</si>
  <si>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</si>
  <si>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</si>
  <si>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</si>
  <si>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</si>
  <si>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</si>
  <si>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</si>
  <si>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</si>
  <si>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</si>
  <si>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</si>
  <si>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</si>
  <si>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</si>
  <si>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</si>
  <si>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</si>
  <si>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</si>
  <si>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</si>
  <si>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</si>
  <si>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</si>
  <si>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</si>
  <si>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</si>
  <si>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</si>
  <si>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</si>
  <si>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</si>
  <si>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</si>
  <si>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</si>
  <si>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</si>
  <si>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</si>
  <si>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</si>
  <si>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</si>
  <si>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</si>
  <si>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</si>
  <si>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</si>
  <si>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</si>
  <si>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</si>
  <si>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</si>
  <si>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</si>
  <si>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</si>
  <si>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</si>
  <si>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</si>
  <si>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</si>
  <si>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</si>
  <si>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</si>
  <si>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</si>
  <si>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</si>
  <si>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</si>
  <si>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</si>
  <si>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</si>
  <si>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</si>
  <si>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</si>
  <si>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</si>
  <si>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</si>
  <si>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</si>
  <si>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</si>
  <si>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</si>
  <si>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</si>
  <si>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</si>
  <si>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</si>
  <si>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</si>
  <si>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</si>
  <si>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</si>
  <si>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</si>
  <si>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</si>
  <si>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</si>
  <si>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</si>
  <si>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</si>
  <si>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</si>
  <si>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</si>
  <si>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</si>
  <si>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</si>
  <si>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</si>
  <si>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</si>
  <si>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</si>
  <si>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</si>
  <si>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</si>
  <si>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</si>
  <si>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</si>
  <si>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</si>
  <si>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</si>
  <si>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</si>
  <si>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</si>
  <si>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</si>
  <si>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</si>
  <si>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</si>
  <si>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</si>
  <si>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</si>
  <si>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</si>
  <si>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</si>
  <si>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</si>
  <si>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</si>
  <si>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</si>
  <si>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</si>
  <si>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</si>
  <si>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</si>
  <si>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</si>
  <si>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</si>
  <si>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</si>
  <si>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</si>
  <si>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</si>
  <si>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</si>
  <si>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</si>
  <si>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</si>
  <si>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</si>
  <si>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</si>
  <si>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</si>
  <si>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</si>
  <si>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</si>
  <si>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</si>
  <si>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</si>
  <si>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</si>
  <si>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</si>
  <si>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</si>
  <si>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</si>
  <si>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</si>
  <si>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</si>
  <si>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</si>
  <si>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</si>
  <si>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</si>
  <si>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</si>
  <si>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</si>
  <si>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</si>
  <si>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</si>
  <si>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</si>
  <si>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</si>
  <si>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</si>
  <si>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</si>
  <si>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</si>
  <si>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</si>
  <si>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</si>
  <si>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</si>
  <si>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</si>
  <si>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</si>
  <si>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</si>
  <si>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</si>
  <si>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</si>
  <si>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</si>
  <si>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</si>
  <si>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</si>
  <si>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</si>
  <si>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</si>
  <si>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</si>
  <si>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</si>
  <si>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</si>
  <si>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</si>
  <si>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</si>
  <si>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</si>
  <si>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</si>
  <si>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</si>
  <si>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</si>
  <si>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</si>
  <si>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</si>
  <si>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</si>
  <si>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</si>
  <si>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</si>
  <si>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</si>
  <si>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</si>
  <si>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</si>
  <si>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</si>
  <si>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</si>
  <si>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</si>
  <si>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</si>
  <si>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</si>
  <si>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</si>
  <si>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</si>
  <si>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</si>
  <si>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</si>
  <si>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</si>
  <si>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</si>
  <si>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</si>
  <si>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</si>
  <si>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</si>
  <si>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</si>
  <si>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</si>
  <si>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</si>
  <si>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</si>
  <si>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</si>
  <si>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</si>
  <si>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</si>
  <si>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</si>
  <si>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</si>
  <si>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</si>
  <si>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</si>
  <si>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</si>
  <si>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</si>
  <si>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</si>
  <si>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</si>
  <si>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</si>
  <si>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</si>
  <si>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</si>
  <si>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</si>
  <si>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</si>
  <si>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</si>
  <si>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</si>
  <si>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</si>
  <si>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</si>
  <si>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</si>
  <si>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</si>
  <si>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</si>
  <si>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</si>
  <si>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</si>
  <si>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</si>
  <si>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</si>
  <si>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</si>
  <si>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</si>
  <si>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</si>
  <si>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</si>
  <si>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</si>
  <si>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</si>
  <si>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</si>
  <si>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</si>
  <si>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</si>
  <si>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</si>
  <si>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</si>
  <si>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</si>
  <si>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</si>
  <si>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</si>
  <si>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</si>
  <si>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</si>
  <si>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</si>
  <si>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</si>
  <si>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</si>
  <si>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</si>
  <si>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</si>
  <si>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</si>
  <si>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</si>
  <si>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</si>
  <si>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</si>
  <si>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</si>
  <si>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</si>
  <si>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</si>
  <si>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</si>
  <si>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</si>
  <si>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</si>
  <si>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</si>
  <si>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</si>
  <si>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</si>
  <si>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</si>
  <si>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</si>
  <si>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</si>
  <si>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</si>
  <si>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</si>
  <si>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</si>
  <si>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</si>
  <si>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</si>
  <si>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</si>
  <si>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</si>
  <si>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</si>
  <si>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</si>
  <si>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</si>
  <si>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</si>
  <si>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</si>
  <si>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</si>
  <si>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</si>
  <si>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</si>
  <si>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</si>
  <si>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</si>
  <si>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</si>
  <si>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</si>
  <si>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</si>
  <si>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</si>
  <si>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</si>
  <si>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</si>
  <si>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</si>
  <si>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</si>
  <si>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</si>
  <si>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</si>
  <si>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</si>
  <si>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</si>
  <si>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</si>
  <si>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</si>
  <si>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</si>
  <si>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</si>
  <si>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</si>
  <si>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</si>
  <si>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</si>
  <si>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</si>
  <si>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</si>
  <si>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</si>
  <si>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</si>
  <si>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</si>
  <si>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</si>
  <si>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</si>
  <si>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</si>
  <si>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</si>
  <si>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</si>
  <si>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</si>
  <si>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</si>
  <si>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</si>
  <si>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</si>
  <si>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</si>
  <si>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</si>
  <si>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</si>
  <si>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</si>
  <si>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</si>
  <si>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</si>
  <si>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</si>
  <si>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</si>
  <si>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</si>
  <si>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</si>
  <si>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</si>
  <si>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</si>
  <si>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</si>
  <si>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</si>
  <si>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</si>
  <si>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</si>
  <si>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</si>
  <si>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</si>
  <si>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</si>
  <si>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</si>
  <si>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</si>
  <si>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</si>
  <si>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</si>
  <si>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</si>
  <si>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</si>
  <si>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</si>
  <si>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</si>
  <si>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</si>
  <si>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</si>
  <si>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</si>
  <si>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</si>
  <si>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</si>
  <si>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</si>
  <si>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</si>
  <si>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</si>
  <si>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</si>
  <si>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</si>
  <si>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</si>
  <si>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</si>
  <si>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</si>
  <si>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</si>
  <si>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</si>
  <si>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</si>
  <si>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</si>
  <si>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</si>
  <si>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</si>
  <si>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</si>
  <si>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</si>
  <si>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</si>
  <si>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</si>
  <si>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</si>
  <si>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</si>
  <si>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</si>
  <si>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</si>
  <si>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</si>
  <si>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</si>
  <si>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</si>
  <si>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</si>
  <si>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</si>
  <si>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</si>
  <si>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</si>
  <si>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</si>
  <si>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</si>
  <si>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</si>
  <si>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</si>
  <si>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</si>
  <si>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</si>
  <si>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</si>
  <si>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</si>
  <si>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</si>
  <si>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</si>
  <si>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</si>
  <si>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</si>
  <si>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</si>
  <si>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</si>
  <si>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</si>
  <si>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</si>
  <si>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</si>
  <si>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</si>
  <si>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</si>
  <si>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</si>
  <si>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</si>
  <si>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</si>
  <si>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</si>
  <si>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</si>
  <si>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</si>
  <si>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</si>
  <si>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</si>
  <si>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</si>
  <si>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</si>
  <si>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</si>
  <si>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</si>
  <si>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</si>
  <si>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</si>
  <si>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</si>
  <si>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</si>
  <si>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</si>
  <si>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</si>
  <si>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</si>
  <si>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</si>
  <si>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</si>
  <si>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</si>
  <si>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</si>
  <si>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</si>
  <si>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</si>
  <si>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</si>
  <si>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</si>
  <si>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</si>
  <si>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</si>
  <si>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</si>
  <si>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</si>
  <si>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</si>
  <si>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</si>
  <si>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</si>
  <si>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</si>
  <si>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</si>
  <si>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</si>
  <si>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</si>
  <si>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</si>
  <si>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</si>
  <si>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</si>
  <si>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</si>
  <si>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</si>
  <si>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</si>
  <si>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</si>
  <si>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</si>
  <si>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</si>
  <si>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</si>
  <si>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</si>
  <si>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</si>
  <si>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</si>
  <si>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</si>
  <si>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</si>
  <si>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</si>
  <si>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</si>
  <si>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</si>
  <si>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</si>
  <si>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</si>
  <si>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</si>
  <si>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</si>
  <si>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</si>
  <si>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</si>
  <si>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</si>
  <si>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</si>
  <si>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</si>
  <si>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</si>
  <si>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</si>
  <si>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</si>
  <si>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</si>
  <si>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</si>
  <si>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</si>
  <si>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</si>
  <si>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</si>
  <si>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</si>
  <si>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</si>
  <si>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</si>
  <si>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</si>
  <si>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</si>
  <si>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</si>
  <si>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</si>
  <si>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</si>
  <si>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</si>
  <si>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</si>
  <si>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</si>
  <si>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</si>
  <si>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</si>
  <si>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</si>
  <si>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</si>
  <si>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</si>
  <si>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</si>
  <si>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</si>
  <si>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</si>
  <si>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</si>
  <si>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</si>
  <si>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</si>
  <si>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</si>
  <si>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</si>
  <si>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</si>
  <si>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</si>
  <si>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</si>
  <si>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</si>
  <si>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</si>
  <si>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</si>
  <si>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</si>
  <si>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</si>
  <si>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</si>
  <si>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</si>
  <si>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</si>
  <si>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</si>
  <si>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</si>
  <si>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</si>
  <si>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</si>
  <si>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</si>
  <si>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</si>
  <si>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</si>
  <si>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</si>
  <si>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</si>
  <si>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</si>
  <si>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</si>
  <si>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</si>
  <si>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</si>
  <si>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</si>
  <si>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</si>
  <si>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</si>
  <si>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</si>
  <si>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</si>
  <si>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</si>
  <si>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</si>
  <si>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</si>
  <si>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</si>
  <si>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</si>
  <si>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</si>
  <si>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</si>
  <si>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</si>
  <si>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</si>
  <si>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</si>
  <si>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</si>
  <si>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</si>
  <si>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</si>
  <si>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</si>
  <si>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</si>
  <si>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</si>
  <si>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</si>
  <si>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</si>
  <si>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</si>
  <si>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</si>
  <si>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</si>
  <si>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</si>
  <si>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</si>
  <si>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</si>
  <si>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</si>
  <si>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</si>
  <si>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</si>
  <si>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</si>
  <si>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</si>
  <si>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</si>
  <si>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</si>
  <si>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</si>
  <si>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</si>
  <si>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</si>
  <si>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</si>
  <si>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</si>
  <si>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</si>
  <si>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</si>
  <si>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</si>
  <si>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</si>
  <si>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</si>
  <si>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</si>
  <si>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</si>
  <si>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</si>
  <si>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</si>
  <si>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</si>
  <si>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</si>
  <si>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</si>
  <si>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</si>
  <si>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</si>
  <si>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</si>
  <si>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</si>
  <si>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</si>
  <si>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</si>
  <si>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</si>
  <si>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</si>
  <si>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</si>
  <si>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</si>
  <si>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</si>
  <si>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</si>
  <si>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</si>
  <si>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</si>
  <si>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</si>
  <si>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</si>
  <si>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</si>
  <si>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</si>
  <si>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</si>
  <si>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</si>
  <si>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</si>
  <si>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</si>
  <si>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</si>
  <si>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</si>
  <si>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</si>
  <si>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</si>
  <si>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</si>
  <si>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</si>
  <si>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</si>
  <si>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</si>
  <si>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</si>
  <si>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</si>
  <si>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</si>
  <si>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</si>
  <si>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</si>
  <si>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</si>
  <si>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</si>
  <si>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</si>
  <si>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</si>
  <si>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</si>
  <si>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</si>
  <si>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</si>
  <si>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</si>
  <si>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</si>
  <si>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</si>
  <si>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</si>
  <si>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</si>
  <si>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</si>
  <si>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</si>
  <si>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</si>
  <si>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</si>
  <si>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</si>
  <si>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</si>
  <si>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</si>
  <si>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</si>
  <si>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</si>
  <si>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</si>
  <si>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</si>
  <si>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</si>
  <si>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</si>
  <si>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</si>
  <si>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</si>
  <si>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</si>
  <si>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</si>
  <si>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</si>
  <si>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</si>
  <si>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</si>
  <si>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</si>
  <si>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</si>
  <si>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</si>
  <si>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</si>
  <si>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</si>
  <si>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</si>
  <si>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</si>
  <si>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</si>
  <si>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</si>
  <si>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</si>
  <si>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</si>
  <si>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</si>
  <si>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</si>
  <si>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</si>
  <si>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</si>
  <si>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</si>
  <si>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</si>
  <si>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</si>
  <si>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</si>
  <si>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</si>
  <si>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</si>
  <si>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</si>
  <si>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</si>
  <si>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</si>
  <si>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</si>
  <si>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</si>
  <si>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</si>
  <si>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</si>
  <si>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</si>
  <si>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</si>
  <si>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</si>
  <si>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</si>
  <si>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</si>
  <si>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</si>
  <si>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</si>
  <si>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</si>
  <si>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</si>
  <si>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</si>
  <si>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</si>
  <si>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</si>
  <si>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</si>
  <si>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</si>
  <si>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</si>
  <si>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</si>
  <si>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</si>
  <si>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</si>
  <si>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</si>
  <si>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</si>
  <si>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</si>
  <si>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</si>
  <si>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</si>
  <si>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</si>
  <si>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</si>
  <si>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</si>
  <si>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</si>
  <si>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</si>
  <si>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</si>
  <si>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</si>
  <si>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</si>
  <si>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</si>
  <si>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</si>
  <si>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</si>
  <si>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</si>
  <si>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</si>
  <si>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</si>
  <si>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</si>
  <si>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</si>
  <si>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</si>
  <si>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</si>
  <si>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</si>
  <si>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</si>
  <si>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</si>
  <si>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</si>
  <si>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</si>
  <si>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</si>
  <si>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</si>
  <si>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</si>
  <si>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</si>
  <si>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</si>
  <si>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</si>
  <si>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</si>
  <si>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</si>
  <si>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</si>
  <si>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</si>
  <si>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</si>
  <si>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</si>
  <si>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</si>
  <si>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</si>
  <si>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</si>
  <si>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</si>
  <si>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</si>
  <si>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</si>
  <si>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</si>
  <si>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</si>
  <si>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</si>
  <si>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</si>
  <si>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</si>
  <si>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</si>
  <si>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</si>
  <si>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</si>
  <si>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</si>
  <si>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</si>
  <si>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</si>
  <si>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</si>
  <si>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</si>
  <si>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</si>
  <si>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</si>
  <si>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</si>
  <si>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</si>
  <si>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</si>
  <si>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</si>
  <si>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</si>
  <si>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</si>
  <si>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</si>
  <si>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</si>
  <si>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</si>
  <si>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</si>
  <si>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</si>
  <si>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</si>
  <si>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</si>
  <si>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</si>
  <si>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</si>
  <si>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</si>
  <si>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</si>
  <si>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</si>
  <si>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</si>
  <si>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</si>
  <si>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</si>
  <si>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</si>
  <si>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</si>
  <si>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</si>
  <si>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</si>
  <si>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</si>
  <si>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</si>
  <si>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</si>
  <si>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</si>
  <si>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</si>
  <si>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</si>
  <si>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</si>
  <si>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</si>
  <si>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</si>
  <si>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</si>
  <si>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</si>
  <si>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</si>
  <si>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</si>
  <si>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</si>
  <si>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</si>
  <si>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</si>
  <si>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</si>
  <si>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</si>
  <si>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</si>
  <si>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</si>
  <si>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</si>
  <si>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</si>
  <si>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</si>
  <si>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</si>
  <si>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</si>
  <si>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</si>
  <si>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</si>
  <si>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</si>
  <si>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</si>
  <si>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</si>
  <si>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</si>
  <si>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</si>
  <si>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</si>
  <si>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</si>
  <si>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</si>
  <si>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</si>
  <si>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</si>
  <si>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</si>
  <si>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</si>
  <si>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</si>
  <si>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</si>
  <si>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</si>
  <si>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</si>
  <si>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</si>
  <si>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</si>
  <si>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</si>
  <si>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</si>
  <si>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</si>
  <si>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</si>
  <si>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</si>
  <si>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</si>
  <si>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</si>
  <si>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</si>
  <si>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</si>
  <si>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</si>
  <si>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</si>
  <si>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</si>
  <si>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</si>
  <si>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</si>
  <si>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</si>
  <si>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</si>
  <si>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</si>
  <si>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</si>
  <si>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</si>
  <si>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</si>
  <si>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</si>
  <si>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</si>
  <si>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</si>
  <si>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</si>
  <si>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</si>
  <si>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</si>
  <si>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</si>
  <si>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</si>
  <si>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</si>
  <si>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</si>
  <si>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</si>
  <si>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</si>
  <si>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</si>
  <si>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</si>
  <si>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</si>
  <si>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</si>
  <si>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</si>
  <si>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</si>
  <si>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</si>
  <si>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</si>
  <si>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</si>
  <si>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</si>
  <si>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</si>
  <si>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</si>
  <si>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</si>
  <si>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</si>
  <si>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</si>
  <si>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</si>
  <si>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</si>
  <si>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</si>
  <si>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</si>
  <si>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</si>
  <si>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</si>
  <si>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</si>
  <si>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</si>
  <si>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</si>
  <si>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</si>
  <si>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</si>
  <si>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</si>
  <si>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</si>
  <si>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</si>
  <si>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</si>
  <si>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</si>
  <si>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</si>
  <si>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</si>
  <si>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</si>
  <si>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</si>
  <si>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</si>
  <si>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</si>
  <si>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</si>
  <si>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</si>
  <si>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</si>
  <si>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</si>
  <si>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</si>
  <si>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</si>
  <si>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</si>
  <si>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</si>
  <si>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</si>
  <si>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</si>
  <si>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</si>
  <si>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</si>
  <si>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</si>
  <si>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</si>
  <si>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</si>
  <si>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</si>
  <si>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</si>
  <si>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</si>
  <si>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</si>
  <si>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</si>
  <si>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</si>
  <si>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</si>
  <si>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</si>
  <si>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</si>
  <si>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</si>
  <si>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</si>
  <si>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</si>
  <si>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</si>
  <si>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</si>
  <si>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</si>
  <si>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</si>
  <si>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</si>
  <si>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</si>
  <si>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</si>
  <si>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</si>
  <si>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</si>
  <si>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</si>
  <si>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</si>
  <si>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</si>
  <si>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</si>
  <si>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</si>
  <si>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</si>
  <si>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</si>
  <si>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</si>
  <si>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</si>
  <si>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</si>
  <si>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</si>
  <si>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</si>
  <si>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</si>
  <si>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</si>
  <si>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</si>
  <si>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</si>
  <si>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</si>
  <si>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</si>
  <si>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</si>
  <si>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</si>
  <si>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</si>
  <si>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</si>
  <si>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</si>
  <si>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</si>
  <si>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</si>
  <si>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</si>
  <si>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</si>
  <si>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</si>
  <si>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</si>
  <si>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</si>
  <si>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</si>
  <si>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</si>
  <si>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</si>
  <si>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</si>
  <si>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</si>
  <si>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</si>
  <si>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</si>
  <si>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</si>
  <si>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</si>
  <si>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</si>
  <si>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</si>
  <si>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</si>
  <si>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</si>
  <si>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</si>
  <si>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</si>
  <si>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</si>
  <si>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</si>
  <si>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</si>
  <si>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</si>
  <si>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</si>
  <si>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</si>
  <si>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</si>
  <si>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</si>
  <si>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</si>
  <si>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</si>
  <si>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</si>
  <si>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</si>
  <si>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</si>
  <si>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</si>
  <si>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</si>
  <si>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</si>
  <si>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</si>
  <si>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</si>
  <si>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</si>
  <si>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</si>
  <si>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</si>
  <si>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</si>
  <si>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</si>
  <si>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</si>
  <si>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</si>
  <si>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</si>
  <si>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</si>
  <si>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</si>
  <si>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</si>
  <si>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</si>
  <si>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</si>
  <si>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</si>
  <si>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</si>
  <si>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</si>
  <si>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</si>
  <si>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</si>
  <si>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</si>
  <si>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</si>
  <si>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</si>
  <si>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</si>
  <si>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</si>
  <si>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</si>
  <si>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</si>
  <si>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</si>
  <si>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</si>
  <si>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</si>
  <si>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</si>
  <si>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</si>
  <si>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</si>
  <si>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</si>
  <si>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</si>
  <si>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</si>
  <si>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</si>
  <si>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</si>
  <si>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</si>
  <si>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</si>
  <si>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</si>
  <si>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</si>
  <si>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</si>
  <si>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</si>
  <si>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</si>
  <si>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</si>
  <si>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</si>
  <si>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</si>
  <si>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</si>
  <si>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</si>
  <si>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</si>
  <si>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</si>
  <si>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</si>
  <si>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</si>
  <si>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</si>
  <si>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</si>
  <si>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</si>
  <si>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</si>
  <si>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</si>
  <si>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</si>
  <si>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</si>
  <si>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</si>
  <si>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</si>
  <si>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</si>
  <si>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</si>
  <si>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</si>
  <si>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</si>
  <si>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</si>
  <si>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</si>
  <si>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</si>
  <si>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</si>
  <si>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</si>
  <si>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</si>
  <si>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</si>
  <si>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</si>
  <si>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</si>
  <si>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</si>
  <si>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</si>
  <si>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</si>
  <si>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</si>
  <si>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</si>
  <si>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</si>
  <si>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</si>
  <si>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</si>
  <si>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</si>
  <si>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</si>
  <si>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</si>
  <si>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</si>
  <si>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</si>
  <si>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</si>
  <si>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</si>
  <si>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</si>
  <si>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</si>
  <si>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</si>
  <si>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</si>
  <si>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</si>
  <si>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</si>
  <si>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</si>
  <si>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</si>
  <si>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</si>
  <si>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</si>
  <si>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</si>
  <si>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</si>
  <si>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</si>
  <si>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</si>
  <si>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</si>
  <si>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</si>
  <si>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</si>
  <si>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</si>
  <si>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</si>
  <si>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</si>
  <si>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</si>
  <si>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</si>
  <si>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</si>
  <si>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</si>
  <si>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</si>
  <si>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</si>
  <si>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</si>
  <si>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</si>
  <si>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</si>
  <si>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</si>
  <si>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</si>
  <si>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</si>
  <si>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</si>
  <si>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</si>
  <si>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</si>
  <si>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</si>
  <si>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</si>
  <si>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</si>
  <si>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</si>
  <si>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</si>
  <si>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</si>
  <si>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</si>
  <si>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</si>
  <si>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</si>
  <si>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</si>
  <si>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</si>
  <si>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</si>
  <si>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</si>
  <si>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</si>
  <si>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</si>
  <si>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</si>
  <si>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</si>
  <si>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</si>
  <si>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</si>
  <si>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</si>
  <si>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</si>
  <si>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</si>
  <si>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</si>
  <si>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</si>
  <si>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</si>
  <si>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</si>
  <si>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</si>
  <si>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</si>
  <si>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</si>
  <si>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</si>
  <si>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</si>
  <si>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</si>
  <si>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</si>
  <si>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</si>
  <si>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</si>
  <si>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</si>
  <si>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</si>
  <si>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</si>
  <si>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</si>
  <si>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</si>
  <si>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</si>
  <si>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</si>
  <si>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</si>
  <si>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</si>
  <si>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</si>
  <si>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</si>
  <si>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</si>
  <si>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</si>
  <si>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</si>
  <si>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</si>
  <si>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</si>
  <si>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</si>
  <si>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</si>
  <si>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</si>
  <si>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</si>
  <si>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</si>
  <si>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</si>
  <si>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</si>
  <si>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</si>
  <si>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</si>
  <si>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</si>
  <si>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</si>
  <si>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</si>
  <si>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</si>
  <si>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</si>
  <si>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</si>
  <si>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</si>
  <si>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</si>
  <si>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</si>
  <si>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</si>
  <si>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</si>
  <si>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</si>
  <si>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</si>
  <si>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</si>
  <si>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</si>
  <si>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</si>
  <si>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</si>
  <si>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</si>
  <si>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</si>
  <si>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</si>
  <si>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</si>
  <si>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</si>
  <si>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</si>
  <si>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</si>
  <si>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</si>
  <si>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</si>
  <si>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</si>
  <si>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</si>
  <si>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</si>
  <si>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</si>
  <si>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</si>
  <si>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</si>
  <si>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</si>
  <si>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</si>
  <si>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</si>
  <si>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</si>
  <si>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</si>
  <si>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</si>
  <si>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</si>
  <si>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</si>
  <si>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</si>
  <si>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</si>
  <si>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</si>
  <si>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</si>
  <si>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</si>
  <si>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</si>
  <si>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</si>
  <si>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</si>
  <si>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</si>
  <si>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</si>
  <si>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</si>
  <si>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</si>
  <si>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</si>
  <si>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</si>
  <si>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</si>
  <si>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</si>
  <si>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</si>
  <si>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</si>
  <si>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</si>
  <si>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</si>
  <si>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</si>
  <si>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</si>
  <si>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</si>
  <si>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</si>
  <si>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</si>
  <si>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</si>
  <si>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</si>
  <si>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</si>
  <si>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</si>
  <si>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</si>
  <si>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</si>
  <si>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</si>
  <si>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</si>
  <si>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</si>
  <si>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</si>
  <si>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</si>
  <si>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</si>
  <si>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</si>
  <si>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</si>
  <si>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</si>
  <si>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</si>
  <si>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</si>
  <si>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</si>
  <si>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</si>
  <si>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</si>
  <si>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</si>
  <si>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</si>
  <si>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</si>
  <si>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</si>
  <si>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</si>
  <si>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</si>
  <si>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</si>
  <si>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</si>
  <si>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</si>
  <si>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</si>
  <si>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</si>
  <si>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</si>
  <si>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</si>
  <si>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</si>
  <si>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</si>
  <si>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</si>
  <si>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</si>
  <si>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</si>
  <si>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</si>
  <si>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</si>
  <si>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</si>
  <si>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</si>
  <si>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</si>
  <si>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</si>
  <si>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</si>
  <si>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</si>
  <si>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</si>
  <si>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</si>
  <si>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</si>
  <si>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</si>
  <si>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</si>
  <si>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</si>
  <si>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</si>
  <si>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</si>
  <si>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</si>
  <si>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</si>
  <si>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</si>
  <si>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</si>
  <si>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</si>
  <si>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</si>
  <si>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</si>
  <si>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</si>
  <si>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</si>
  <si>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</si>
  <si>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</si>
  <si>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</si>
  <si>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</si>
  <si>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</si>
  <si>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</si>
  <si>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</si>
  <si>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</si>
  <si>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</si>
  <si>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</si>
  <si>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</si>
  <si>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</si>
  <si>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</si>
  <si>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</si>
  <si>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</si>
  <si>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</si>
  <si>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</si>
  <si>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</si>
  <si>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</si>
  <si>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</si>
  <si>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</si>
  <si>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</si>
  <si>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</si>
  <si>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</si>
  <si>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</si>
  <si>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</si>
  <si>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</si>
  <si>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</si>
  <si>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</si>
  <si>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</si>
  <si>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</si>
  <si>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</si>
  <si>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</si>
  <si>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</si>
  <si>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</si>
  <si>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</si>
  <si>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</si>
  <si>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</si>
  <si>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</si>
  <si>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</si>
  <si>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</si>
  <si>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</si>
  <si>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</si>
  <si>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</si>
  <si>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</si>
  <si>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</si>
  <si>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</si>
  <si>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</si>
  <si>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</si>
  <si>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</si>
  <si>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</si>
  <si>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</si>
  <si>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</si>
  <si>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</si>
  <si>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</si>
  <si>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</si>
  <si>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</si>
  <si>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</si>
  <si>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</si>
  <si>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</si>
  <si>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</si>
  <si>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</si>
  <si>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</si>
  <si>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</si>
  <si>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</si>
  <si>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</si>
  <si>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</si>
  <si>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</si>
  <si>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</si>
  <si>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</si>
  <si>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</si>
  <si>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</si>
  <si>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</si>
  <si>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</si>
  <si>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</si>
  <si>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</si>
  <si>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</si>
  <si>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</si>
  <si>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</si>
  <si>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</si>
  <si>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</si>
  <si>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</si>
  <si>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</si>
  <si>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</si>
  <si>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</si>
  <si>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</si>
  <si>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</si>
  <si>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</si>
  <si>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</si>
  <si>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</si>
  <si>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</si>
  <si>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</si>
  <si>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</si>
  <si>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</si>
  <si>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</si>
  <si>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</si>
  <si>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</si>
  <si>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</si>
  <si>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</si>
  <si>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</si>
  <si>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</si>
  <si>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</si>
  <si>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</si>
  <si>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</si>
  <si>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</si>
  <si>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</si>
  <si>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</si>
  <si>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</si>
  <si>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</si>
  <si>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</si>
  <si>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</si>
  <si>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</si>
  <si>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</si>
  <si>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</si>
  <si>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</si>
  <si>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</si>
  <si>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</si>
  <si>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</si>
  <si>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</si>
  <si>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</si>
  <si>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</si>
  <si>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</si>
  <si>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</si>
  <si>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</si>
  <si>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</si>
  <si>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</si>
  <si>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</si>
  <si>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</si>
  <si>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</si>
  <si>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</si>
  <si>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</si>
  <si>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</si>
  <si>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</si>
  <si>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</si>
  <si>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</si>
  <si>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</si>
  <si>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</si>
  <si>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</si>
  <si>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</si>
  <si>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</si>
  <si>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</si>
  <si>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</si>
  <si>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</si>
  <si>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</si>
  <si>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</si>
  <si>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</si>
  <si>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</si>
  <si>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</si>
  <si>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</si>
  <si>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</si>
  <si>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</si>
  <si>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</si>
  <si>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</si>
  <si>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</si>
  <si>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</si>
  <si>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</si>
  <si>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</si>
  <si>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</si>
  <si>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</si>
  <si>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</si>
  <si>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</si>
  <si>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</si>
  <si>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</si>
  <si>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</si>
  <si>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</si>
  <si>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</si>
  <si>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</si>
  <si>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</si>
  <si>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</si>
  <si>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</si>
  <si>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</si>
  <si>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</si>
  <si>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</si>
  <si>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</si>
  <si>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</si>
  <si>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</si>
  <si>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</si>
  <si>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</si>
  <si>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</si>
  <si>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</si>
  <si>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</si>
  <si>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</si>
  <si>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</si>
  <si>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</si>
  <si>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</si>
  <si>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</si>
  <si>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</si>
  <si>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</si>
  <si>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</si>
  <si>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</si>
  <si>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</si>
  <si>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</si>
  <si>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</si>
  <si>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</si>
  <si>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</si>
  <si>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</si>
  <si>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</si>
  <si>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</si>
  <si>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</si>
  <si>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</si>
  <si>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</si>
  <si>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</si>
  <si>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</si>
  <si>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</si>
  <si>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</si>
  <si>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</si>
  <si>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</si>
  <si>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</si>
  <si>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</si>
  <si>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</si>
  <si>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</si>
  <si>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</si>
  <si>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</si>
  <si>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</si>
  <si>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</si>
  <si>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</si>
  <si>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</si>
  <si>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</si>
  <si>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</si>
  <si>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</si>
  <si>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</si>
  <si>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</si>
  <si>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</si>
  <si>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</si>
  <si>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</si>
  <si>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</si>
  <si>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</si>
  <si>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</si>
  <si>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</si>
  <si>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</si>
  <si>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</si>
  <si>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</si>
  <si>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</si>
  <si>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</si>
  <si>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</si>
  <si>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</si>
  <si>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</si>
  <si>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</si>
  <si>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</si>
  <si>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</si>
  <si>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</si>
  <si>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</si>
  <si>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</si>
  <si>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</si>
  <si>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</si>
  <si>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</si>
  <si>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</si>
  <si>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</si>
  <si>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</si>
  <si>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</si>
  <si>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</si>
  <si>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</si>
  <si>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</si>
  <si>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</si>
  <si>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</si>
  <si>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</si>
  <si>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</si>
  <si>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</si>
  <si>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</si>
  <si>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</si>
  <si>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</si>
  <si>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</si>
  <si>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</si>
  <si>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</si>
  <si>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</si>
  <si>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</si>
  <si>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</si>
  <si>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</si>
  <si>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</si>
  <si>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</si>
  <si>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</si>
  <si>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</si>
  <si>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</si>
  <si>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</si>
  <si>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</si>
  <si>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</si>
  <si>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</si>
  <si>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</si>
  <si>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</si>
  <si>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</si>
  <si>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</si>
  <si>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</si>
  <si>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</si>
  <si>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</si>
  <si>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</si>
  <si>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</si>
  <si>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</si>
  <si>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</si>
  <si>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</si>
  <si>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</si>
  <si>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</si>
  <si>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</si>
  <si>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</si>
  <si>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</si>
  <si>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</si>
  <si>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</si>
  <si>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</si>
  <si>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</si>
  <si>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</si>
  <si>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</si>
  <si>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</si>
  <si>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</si>
  <si>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</si>
  <si>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</si>
  <si>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</si>
  <si>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</si>
  <si>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</si>
  <si>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</si>
  <si>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</si>
  <si>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</si>
  <si>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</si>
  <si>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</si>
  <si>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</si>
  <si>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</si>
  <si>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</si>
  <si>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</si>
  <si>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</si>
  <si>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</si>
  <si>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</si>
  <si>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</si>
  <si>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</si>
  <si>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</si>
  <si>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</si>
  <si>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</si>
  <si>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</si>
  <si>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</si>
  <si>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</si>
  <si>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</si>
  <si>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</si>
  <si>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</si>
  <si>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</si>
  <si>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</si>
  <si>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</si>
  <si>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</si>
  <si>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</si>
  <si>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</si>
  <si>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</si>
  <si>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</si>
  <si>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</si>
  <si>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</si>
  <si>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</si>
  <si>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</si>
  <si>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</si>
  <si>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</si>
  <si>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</si>
  <si>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</si>
  <si>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</si>
  <si>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</si>
  <si>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</si>
  <si>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</si>
  <si>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</si>
  <si>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</si>
  <si>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</si>
  <si>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</si>
  <si>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</si>
  <si>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</si>
  <si>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</si>
  <si>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</si>
  <si>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</si>
  <si>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</si>
  <si>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</si>
  <si>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</si>
  <si>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</si>
  <si>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</si>
  <si>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</si>
  <si>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</si>
  <si>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</si>
  <si>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</si>
  <si>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</si>
  <si>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</si>
  <si>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</si>
  <si>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</si>
  <si>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</si>
  <si>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</si>
  <si>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</si>
  <si>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</si>
  <si>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</si>
  <si>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</si>
  <si>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</si>
  <si>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</si>
  <si>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</si>
  <si>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</si>
  <si>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</si>
  <si>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</si>
  <si>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</si>
  <si>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</si>
  <si>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</si>
  <si>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</si>
  <si>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</si>
  <si>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</si>
  <si>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</si>
  <si>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</si>
  <si>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</si>
  <si>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</si>
  <si>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</si>
  <si>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</si>
  <si>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</si>
  <si>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</si>
  <si>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</si>
  <si>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</si>
  <si>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</si>
  <si>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</si>
  <si>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</si>
  <si>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</si>
  <si>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</si>
  <si>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</si>
  <si>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</si>
  <si>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</si>
  <si>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</si>
  <si>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</si>
  <si>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</si>
  <si>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</si>
  <si>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</si>
  <si>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</si>
  <si>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</si>
  <si>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</si>
  <si>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</si>
  <si>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</si>
  <si>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</si>
  <si>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</si>
  <si>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</si>
  <si>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</si>
  <si>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</si>
  <si>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</si>
  <si>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</si>
  <si>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</si>
  <si>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</si>
  <si>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</si>
  <si>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</si>
  <si>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</si>
  <si>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</si>
  <si>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</si>
  <si>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</si>
  <si>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</si>
  <si>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</si>
  <si>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</si>
  <si>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</si>
  <si>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</si>
  <si>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</si>
  <si>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</si>
  <si>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</si>
  <si>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</si>
  <si>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</si>
  <si>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</si>
  <si>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</si>
  <si>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</si>
  <si>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</si>
  <si>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</si>
  <si>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</si>
  <si>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</si>
  <si>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</si>
  <si>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</si>
  <si>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</si>
  <si>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</si>
  <si>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</si>
  <si>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</si>
  <si>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</si>
  <si>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</si>
  <si>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</si>
  <si>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</si>
  <si>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</si>
  <si>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</si>
  <si>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</si>
  <si>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</si>
  <si>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</si>
  <si>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</si>
  <si>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</si>
  <si>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</si>
  <si>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</si>
  <si>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</si>
  <si>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</si>
  <si>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</si>
  <si>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</si>
  <si>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</si>
  <si>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</si>
  <si>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</si>
  <si>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</si>
  <si>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</si>
  <si>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</si>
  <si>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</si>
  <si>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</si>
  <si>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</si>
  <si>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</si>
  <si>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</si>
  <si>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</si>
  <si>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</si>
  <si>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</si>
  <si>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</si>
  <si>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</si>
  <si>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</si>
  <si>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</si>
  <si>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</si>
  <si>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</si>
  <si>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</si>
  <si>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</si>
  <si>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</si>
  <si>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</si>
  <si>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</si>
  <si>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</si>
  <si>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</si>
  <si>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</si>
  <si>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</si>
  <si>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</si>
  <si>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</si>
  <si>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</si>
  <si>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</si>
  <si>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</si>
  <si>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</si>
  <si>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</si>
  <si>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</si>
  <si>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</si>
  <si>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</si>
  <si>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</si>
  <si>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</si>
  <si>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</si>
  <si>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</si>
  <si>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</si>
  <si>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</si>
  <si>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</si>
  <si>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</si>
  <si>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</si>
  <si>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</si>
  <si>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</si>
  <si>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</si>
  <si>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</si>
  <si>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</si>
  <si>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</si>
  <si>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</si>
  <si>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</si>
  <si>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</si>
  <si>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</si>
  <si>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</si>
  <si>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</si>
  <si>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</si>
  <si>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</si>
  <si>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</si>
  <si>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</si>
  <si>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</si>
  <si>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</si>
  <si>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</si>
  <si>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</si>
  <si>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</si>
  <si>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</si>
  <si>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</si>
  <si>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</si>
  <si>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</si>
  <si>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</si>
  <si>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</si>
  <si>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</si>
  <si>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</si>
  <si>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</si>
  <si>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</si>
  <si>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</si>
  <si>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</si>
  <si>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</si>
  <si>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</si>
  <si>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</si>
  <si>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</si>
  <si>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</si>
  <si>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</si>
  <si>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</si>
  <si>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</si>
  <si>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</si>
  <si>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</si>
  <si>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</si>
  <si>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</si>
  <si>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</si>
  <si>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</si>
  <si>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</si>
  <si>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</si>
  <si>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</si>
  <si>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</si>
  <si>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</si>
  <si>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</si>
  <si>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</si>
  <si>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</si>
  <si>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</si>
  <si>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</si>
  <si>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</si>
  <si>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</si>
  <si>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</si>
  <si>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</si>
  <si>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</si>
  <si>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</si>
  <si>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</si>
  <si>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</si>
  <si>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</si>
  <si>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</si>
  <si>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</si>
  <si>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</si>
  <si>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</si>
  <si>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</si>
  <si>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</si>
  <si>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</si>
  <si>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</si>
  <si>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</si>
  <si>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</si>
  <si>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</si>
  <si>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</si>
  <si>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</si>
  <si>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</si>
  <si>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</si>
  <si>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</si>
  <si>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</si>
  <si>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</si>
  <si>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</si>
  <si>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</si>
  <si>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</si>
  <si>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</si>
  <si>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</si>
  <si>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</si>
  <si>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</si>
  <si>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</si>
  <si>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</si>
  <si>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</si>
  <si>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</si>
  <si>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</si>
  <si>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</si>
  <si>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</si>
  <si>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</si>
  <si>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</si>
  <si>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</si>
  <si>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</si>
  <si>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</si>
  <si>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</si>
  <si>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</si>
  <si>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</si>
  <si>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</si>
  <si>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</si>
  <si>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</si>
  <si>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</si>
  <si>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</si>
  <si>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</si>
  <si>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</si>
  <si>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</si>
  <si>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</si>
  <si>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</si>
  <si>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</si>
  <si>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</si>
  <si>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</si>
  <si>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</si>
  <si>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</si>
  <si>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</si>
  <si>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</si>
  <si>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</si>
  <si>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</si>
  <si>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</si>
  <si>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</si>
  <si>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</si>
  <si>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</si>
  <si>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</si>
  <si>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</si>
  <si>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</si>
  <si>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</si>
  <si>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</si>
  <si>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</si>
  <si>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</si>
  <si>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</si>
  <si>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</si>
  <si>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</si>
  <si>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</si>
  <si>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</si>
  <si>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</si>
  <si>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</si>
  <si>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</si>
  <si>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</si>
  <si>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</si>
  <si>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</si>
  <si>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</si>
  <si>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</si>
  <si>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</si>
  <si>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</si>
  <si>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</si>
  <si>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</si>
  <si>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</si>
  <si>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</si>
  <si>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</si>
  <si>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</si>
  <si>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</si>
  <si>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</si>
  <si>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</si>
  <si>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</si>
  <si>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</si>
  <si>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</si>
  <si>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</si>
  <si>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</si>
  <si>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</si>
  <si>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</si>
  <si>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</si>
  <si>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</si>
  <si>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</si>
  <si>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</si>
  <si>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</si>
  <si>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</si>
  <si>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</si>
  <si>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</si>
  <si>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</si>
  <si>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</si>
  <si>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</si>
  <si>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</si>
  <si>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</si>
  <si>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</si>
  <si>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</si>
  <si>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</si>
  <si>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</si>
  <si>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</si>
  <si>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</si>
  <si>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</si>
  <si>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</si>
  <si>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</si>
  <si>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</si>
  <si>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</si>
  <si>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</si>
  <si>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</si>
  <si>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</si>
  <si>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</si>
  <si>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</si>
  <si>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</si>
  <si>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</si>
  <si>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</si>
  <si>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</si>
  <si>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</si>
  <si>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</si>
  <si>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</si>
  <si>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</si>
  <si>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</si>
  <si>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</si>
  <si>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</si>
  <si>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</si>
  <si>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</si>
  <si>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</si>
  <si>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</si>
  <si>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</si>
  <si>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</si>
  <si>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</si>
  <si>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</si>
  <si>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</si>
  <si>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</si>
  <si>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</si>
  <si>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</si>
  <si>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</si>
  <si>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</si>
  <si>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</si>
  <si>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</si>
  <si>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</si>
  <si>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</si>
  <si>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</si>
  <si>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</si>
  <si>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</si>
  <si>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</si>
  <si>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</si>
  <si>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</si>
  <si>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</si>
  <si>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</si>
  <si>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</si>
  <si>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</si>
  <si>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</si>
  <si>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</si>
  <si>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</si>
  <si>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</si>
  <si>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</si>
  <si>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</si>
  <si>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</si>
  <si>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</si>
  <si>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</si>
  <si>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</si>
  <si>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</si>
  <si>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</si>
  <si>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</si>
  <si>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</si>
  <si>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</si>
  <si>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</si>
  <si>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</si>
  <si>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</si>
  <si>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</si>
  <si>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</si>
  <si>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</si>
  <si>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</si>
  <si>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</si>
  <si>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</si>
  <si>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</si>
  <si>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</si>
  <si>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</si>
  <si>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</si>
  <si>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</si>
  <si>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</si>
  <si>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</si>
  <si>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</si>
  <si>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</si>
  <si>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</si>
  <si>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</si>
  <si>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</si>
  <si>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</si>
  <si>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</si>
  <si>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</si>
  <si>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</si>
  <si>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</si>
  <si>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</si>
  <si>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</si>
  <si>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</si>
  <si>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</si>
  <si>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</si>
  <si>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</si>
  <si>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</si>
  <si>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</si>
  <si>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</si>
  <si>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</si>
  <si>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</si>
  <si>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</si>
  <si>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</si>
  <si>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</si>
  <si>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</si>
  <si>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</si>
  <si>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</si>
  <si>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</si>
  <si>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</si>
  <si>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</si>
  <si>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</si>
  <si>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</si>
  <si>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</si>
  <si>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</si>
  <si>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</si>
  <si>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</si>
  <si>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</si>
  <si>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</si>
  <si>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</si>
  <si>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</si>
  <si>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</si>
  <si>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</si>
  <si>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</si>
  <si>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</si>
  <si>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</si>
  <si>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</si>
  <si>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</si>
  <si>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</si>
  <si>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</si>
  <si>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</si>
  <si>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</si>
  <si>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</si>
  <si>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</si>
  <si>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</si>
  <si>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</si>
  <si>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</si>
  <si>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</si>
  <si>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</si>
  <si>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</si>
  <si>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</si>
  <si>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</si>
  <si>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</si>
  <si>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</si>
  <si>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</si>
  <si>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</si>
  <si>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</si>
  <si>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</si>
  <si>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</si>
  <si>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</si>
  <si>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</si>
  <si>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</si>
  <si>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</si>
  <si>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</si>
  <si>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</si>
  <si>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</si>
  <si>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</si>
  <si>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</si>
  <si>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</si>
  <si>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</si>
  <si>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</si>
  <si>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</si>
  <si>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</si>
  <si>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</si>
  <si>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</si>
  <si>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</si>
  <si>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</si>
  <si>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</si>
  <si>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</si>
  <si>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</si>
  <si>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</si>
  <si>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</si>
  <si>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</si>
  <si>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</si>
  <si>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</si>
  <si>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</si>
  <si>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</si>
  <si>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</si>
  <si>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</si>
  <si>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</si>
  <si>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</si>
  <si>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</si>
  <si>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</si>
  <si>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</si>
  <si>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</si>
  <si>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</si>
  <si>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</si>
  <si>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</si>
  <si>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</si>
  <si>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</si>
  <si>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</si>
  <si>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</si>
  <si>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</si>
  <si>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</si>
  <si>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</si>
  <si>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</si>
  <si>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</si>
  <si>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</si>
  <si>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</si>
  <si>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</si>
  <si>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</si>
  <si>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</si>
  <si>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</si>
  <si>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</si>
  <si>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</si>
  <si>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</si>
  <si>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</si>
  <si>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</si>
  <si>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</si>
  <si>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</si>
  <si>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</si>
  <si>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</si>
  <si>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</si>
  <si>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</si>
  <si>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</si>
  <si>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</si>
  <si>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</si>
  <si>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</si>
  <si>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</si>
  <si>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</si>
  <si>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</si>
  <si>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</si>
  <si>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</si>
  <si>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</si>
  <si>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</si>
  <si>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</si>
  <si>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</si>
  <si>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</si>
  <si>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</si>
  <si>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</si>
  <si>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</si>
  <si>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</si>
  <si>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</si>
  <si>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</si>
  <si>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</si>
  <si>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</si>
  <si>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</si>
  <si>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</si>
  <si>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</si>
  <si>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</si>
  <si>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</si>
  <si>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</si>
  <si>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</si>
  <si>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</si>
  <si>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</si>
  <si>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</si>
  <si>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</si>
  <si>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</si>
  <si>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</si>
  <si>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</si>
  <si>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</si>
  <si>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</si>
  <si>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</si>
  <si>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</si>
  <si>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</si>
  <si>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</si>
  <si>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</si>
  <si>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</si>
  <si>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</si>
  <si>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</si>
  <si>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</si>
  <si>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</si>
  <si>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</si>
  <si>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</si>
  <si>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</si>
  <si>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</si>
  <si>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</si>
  <si>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</si>
  <si>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</si>
  <si>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</si>
  <si>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</si>
  <si>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</si>
  <si>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</si>
  <si>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</si>
  <si>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</si>
  <si>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</si>
  <si>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</si>
  <si>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</si>
  <si>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</si>
  <si>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</si>
  <si>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</si>
  <si>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</si>
  <si>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</si>
  <si>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</si>
  <si>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</si>
  <si>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</si>
  <si>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</si>
  <si>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</si>
  <si>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</si>
  <si>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</si>
  <si>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</si>
  <si>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</si>
  <si>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</si>
  <si>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</si>
  <si>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</si>
  <si>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</si>
  <si>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</si>
  <si>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</si>
  <si>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</si>
  <si>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</si>
  <si>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</si>
  <si>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</si>
  <si>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</si>
  <si>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</si>
  <si>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</si>
  <si>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</si>
  <si>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</si>
  <si>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</si>
  <si>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</si>
  <si>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</si>
  <si>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</si>
  <si>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</si>
  <si>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</si>
  <si>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</si>
  <si>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</si>
  <si>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</si>
  <si>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</si>
  <si>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</si>
  <si>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</si>
  <si>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</si>
  <si>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</si>
  <si>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</si>
  <si>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</si>
  <si>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</si>
  <si>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</si>
  <si>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</si>
  <si>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</si>
  <si>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</si>
  <si>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</si>
  <si>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</si>
  <si>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</si>
  <si>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</si>
  <si>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</si>
  <si>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</si>
  <si>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</si>
  <si>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</si>
  <si>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</si>
  <si>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</si>
  <si>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</si>
  <si>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</si>
  <si>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</si>
  <si>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</si>
  <si>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</si>
  <si>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</si>
  <si>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</si>
  <si>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</si>
  <si>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</si>
  <si>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</si>
  <si>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</si>
  <si>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</si>
  <si>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Backer Hotwatt</t>
  </si>
  <si>
    <t>Michael Parisi</t>
  </si>
  <si>
    <t>mike.parisi@hotwatt.com</t>
  </si>
  <si>
    <t>978-777-0070</t>
  </si>
  <si>
    <t>Director of Operations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</si>
</sst>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1"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9"/>
      <c r="B2" s="38" t="s">
        <v>847</v>
      </c>
      <c r="C2" s="36"/>
      <c r="D2" s="206"/>
      <c r="E2" s="3"/>
      <c r="F2" s="36"/>
      <c r="G2" s="34"/>
    </row>
    <row r="3" spans="1:7">
      <c r="A3" s="369"/>
      <c r="B3" s="5" t="s">
        <v>839</v>
      </c>
      <c r="C3" s="6"/>
      <c r="D3" s="207"/>
      <c r="E3" s="3"/>
      <c r="F3" s="6"/>
      <c r="G3" s="34"/>
    </row>
    <row r="4" spans="1:7" ht="15.75">
      <c r="A4" s="369"/>
      <c r="B4" s="41" t="s">
        <v>849</v>
      </c>
      <c r="C4" s="7"/>
      <c r="D4" s="208"/>
      <c r="E4" s="3"/>
      <c r="F4" s="7"/>
      <c r="G4" s="34"/>
    </row>
    <row r="5" spans="1:7">
      <c r="A5" s="369"/>
      <c r="B5" s="40" t="s">
        <v>1040</v>
      </c>
      <c r="C5" s="4"/>
      <c r="D5" s="209"/>
      <c r="E5" s="3"/>
      <c r="F5" s="4"/>
      <c r="G5" s="34"/>
    </row>
    <row r="6" spans="1:7">
      <c r="A6" s="369"/>
      <c r="B6" s="8"/>
      <c r="C6" s="8"/>
      <c r="D6" s="210"/>
      <c r="E6" s="8"/>
      <c r="F6" s="8"/>
      <c r="G6" s="34"/>
    </row>
    <row r="7" spans="1:7">
      <c r="A7" s="369"/>
      <c r="B7" s="8"/>
      <c r="C7" s="8"/>
      <c r="D7" s="210"/>
      <c r="E7" s="8"/>
      <c r="F7" s="8"/>
      <c r="G7" s="34"/>
    </row>
    <row r="8" spans="1:7">
      <c r="A8" s="369"/>
      <c r="B8" s="8"/>
      <c r="C8" s="8"/>
      <c r="D8" s="210"/>
      <c r="E8" s="8"/>
      <c r="F8" s="8"/>
      <c r="G8" s="34"/>
    </row>
    <row r="9" spans="1:7">
      <c r="A9" s="369"/>
      <c r="B9" s="372" t="s">
        <v>850</v>
      </c>
      <c r="C9" s="372"/>
      <c r="D9" s="372"/>
      <c r="E9" s="372"/>
      <c r="F9" s="372"/>
      <c r="G9" s="34"/>
    </row>
    <row r="10" spans="1:7" ht="27" customHeight="1">
      <c r="A10" s="369"/>
      <c r="B10" s="373" t="s">
        <v>438</v>
      </c>
      <c r="C10" s="373"/>
      <c r="D10" s="373"/>
      <c r="E10" s="373"/>
      <c r="F10" s="373"/>
      <c r="G10" s="34"/>
    </row>
    <row r="11" spans="1:7" ht="27" customHeight="1">
      <c r="A11" s="369"/>
      <c r="B11" s="374"/>
      <c r="C11" s="374"/>
      <c r="D11" s="374"/>
      <c r="E11" s="374"/>
      <c r="F11" s="374"/>
      <c r="G11" s="34"/>
    </row>
    <row r="12" spans="1:7">
      <c r="A12" s="369"/>
      <c r="B12" s="42" t="s">
        <v>848</v>
      </c>
      <c r="C12" s="43" t="s">
        <v>851</v>
      </c>
      <c r="D12" s="211" t="s">
        <v>852</v>
      </c>
      <c r="E12" s="43" t="s">
        <v>612</v>
      </c>
      <c r="F12" s="43" t="s">
        <v>613</v>
      </c>
      <c r="G12" s="34"/>
    </row>
    <row r="13" spans="1:7" ht="33.75">
      <c r="A13" s="369"/>
      <c r="B13" s="2">
        <v>1</v>
      </c>
      <c r="C13" s="37" t="s">
        <v>1088</v>
      </c>
      <c r="D13" s="39" t="s">
        <v>876</v>
      </c>
      <c r="E13" s="194" t="s">
        <v>853</v>
      </c>
      <c r="F13" s="194"/>
      <c r="G13" s="34"/>
    </row>
    <row r="14" spans="1:7" ht="33.75">
      <c r="A14" s="369"/>
      <c r="B14" s="2">
        <v>2</v>
      </c>
      <c r="C14" s="37" t="s">
        <v>1088</v>
      </c>
      <c r="D14" s="39" t="s">
        <v>1025</v>
      </c>
      <c r="E14" s="194" t="s">
        <v>530</v>
      </c>
      <c r="F14" s="194" t="s">
        <v>531</v>
      </c>
      <c r="G14" s="34"/>
    </row>
    <row r="15" spans="1:7" ht="89.1" customHeight="1">
      <c r="A15" s="369"/>
      <c r="B15" s="354">
        <v>2.0099999999999998</v>
      </c>
      <c r="C15" s="366" t="s">
        <v>1088</v>
      </c>
      <c r="D15" s="375" t="s">
        <v>2265</v>
      </c>
      <c r="E15" s="195" t="s">
        <v>614</v>
      </c>
      <c r="F15" s="195" t="s">
        <v>617</v>
      </c>
      <c r="G15" s="34"/>
    </row>
    <row r="16" spans="1:7" ht="99" customHeight="1">
      <c r="A16" s="369"/>
      <c r="B16" s="355"/>
      <c r="C16" s="367"/>
      <c r="D16" s="376"/>
      <c r="E16" s="196"/>
      <c r="F16" s="196" t="s">
        <v>615</v>
      </c>
      <c r="G16" s="34"/>
    </row>
    <row r="17" spans="1:7" ht="63" customHeight="1">
      <c r="A17" s="369"/>
      <c r="B17" s="356"/>
      <c r="C17" s="368"/>
      <c r="D17" s="377"/>
      <c r="E17" s="37"/>
      <c r="F17" s="37" t="s">
        <v>616</v>
      </c>
      <c r="G17" s="34"/>
    </row>
    <row r="18" spans="1:7" ht="117" customHeight="1">
      <c r="A18" s="369"/>
      <c r="B18" s="354">
        <v>2.02</v>
      </c>
      <c r="C18" s="366" t="s">
        <v>1088</v>
      </c>
      <c r="D18" s="375" t="s">
        <v>2266</v>
      </c>
      <c r="E18" s="195" t="s">
        <v>439</v>
      </c>
      <c r="F18" s="195" t="s">
        <v>525</v>
      </c>
      <c r="G18" s="34"/>
    </row>
    <row r="19" spans="1:7" ht="71.099999999999994" customHeight="1">
      <c r="A19" s="369"/>
      <c r="B19" s="355"/>
      <c r="C19" s="367"/>
      <c r="D19" s="376"/>
      <c r="E19" s="196" t="s">
        <v>529</v>
      </c>
      <c r="F19" s="196" t="s">
        <v>440</v>
      </c>
      <c r="G19" s="34"/>
    </row>
    <row r="20" spans="1:7" ht="90.75" customHeight="1">
      <c r="A20" s="369"/>
      <c r="B20" s="355"/>
      <c r="C20" s="367"/>
      <c r="D20" s="376"/>
      <c r="E20" s="196"/>
      <c r="F20" s="196" t="s">
        <v>619</v>
      </c>
      <c r="G20" s="34"/>
    </row>
    <row r="21" spans="1:7" ht="74.25" customHeight="1">
      <c r="A21" s="369"/>
      <c r="B21" s="356"/>
      <c r="C21" s="368"/>
      <c r="D21" s="377"/>
      <c r="E21" s="37"/>
      <c r="F21" s="37" t="s">
        <v>618</v>
      </c>
      <c r="G21" s="34"/>
    </row>
    <row r="22" spans="1:7" ht="90" customHeight="1">
      <c r="A22" s="369"/>
      <c r="B22" s="360">
        <v>2.0299999999999998</v>
      </c>
      <c r="C22" s="360" t="s">
        <v>822</v>
      </c>
      <c r="D22" s="363" t="s">
        <v>2267</v>
      </c>
      <c r="E22" s="366" t="s">
        <v>437</v>
      </c>
      <c r="F22" s="195" t="s">
        <v>460</v>
      </c>
      <c r="G22" s="34"/>
    </row>
    <row r="23" spans="1:7" ht="109.5" customHeight="1">
      <c r="A23" s="369"/>
      <c r="B23" s="361"/>
      <c r="C23" s="361"/>
      <c r="D23" s="364"/>
      <c r="E23" s="367"/>
      <c r="F23" s="196" t="s">
        <v>823</v>
      </c>
      <c r="G23" s="34"/>
    </row>
    <row r="24" spans="1:7" ht="74.25" customHeight="1">
      <c r="A24" s="369"/>
      <c r="B24" s="362"/>
      <c r="C24" s="362"/>
      <c r="D24" s="365"/>
      <c r="E24" s="368"/>
      <c r="F24" s="37" t="s">
        <v>436</v>
      </c>
      <c r="G24" s="34"/>
    </row>
    <row r="25" spans="1:7" ht="72" customHeight="1">
      <c r="A25" s="369"/>
      <c r="B25" s="2" t="s">
        <v>458</v>
      </c>
      <c r="C25" s="37" t="s">
        <v>459</v>
      </c>
      <c r="D25" s="39" t="s">
        <v>2268</v>
      </c>
      <c r="E25" s="37" t="s">
        <v>2263</v>
      </c>
      <c r="F25" s="37" t="s">
        <v>461</v>
      </c>
      <c r="G25" s="34"/>
    </row>
    <row r="26" spans="1:7" ht="98.1" customHeight="1">
      <c r="A26" s="369"/>
      <c r="B26" s="357">
        <v>3</v>
      </c>
      <c r="C26" s="354" t="s">
        <v>70</v>
      </c>
      <c r="D26" s="375" t="s">
        <v>2269</v>
      </c>
      <c r="E26" s="366" t="s">
        <v>0</v>
      </c>
      <c r="F26" s="195" t="s">
        <v>64</v>
      </c>
      <c r="G26" s="34"/>
    </row>
    <row r="27" spans="1:7" ht="90" customHeight="1">
      <c r="A27" s="369"/>
      <c r="B27" s="358"/>
      <c r="C27" s="355"/>
      <c r="D27" s="376"/>
      <c r="E27" s="367"/>
      <c r="F27" s="196" t="s">
        <v>59</v>
      </c>
      <c r="G27" s="34"/>
    </row>
    <row r="28" spans="1:7" ht="19.350000000000001" customHeight="1">
      <c r="A28" s="369"/>
      <c r="B28" s="358"/>
      <c r="C28" s="355"/>
      <c r="D28" s="376"/>
      <c r="E28" s="367"/>
      <c r="F28" s="196" t="s">
        <v>60</v>
      </c>
      <c r="G28" s="34"/>
    </row>
    <row r="29" spans="1:7" ht="74.45" customHeight="1">
      <c r="A29" s="369"/>
      <c r="B29" s="358"/>
      <c r="C29" s="355"/>
      <c r="D29" s="376"/>
      <c r="E29" s="367"/>
      <c r="F29" s="196" t="s">
        <v>61</v>
      </c>
      <c r="G29" s="34"/>
    </row>
    <row r="30" spans="1:7" ht="62.45" customHeight="1">
      <c r="A30" s="369"/>
      <c r="B30" s="358"/>
      <c r="C30" s="355"/>
      <c r="D30" s="376"/>
      <c r="E30" s="367"/>
      <c r="F30" s="196" t="s">
        <v>62</v>
      </c>
      <c r="G30" s="34"/>
    </row>
    <row r="31" spans="1:7" ht="81" customHeight="1">
      <c r="A31" s="369"/>
      <c r="B31" s="358"/>
      <c r="C31" s="355"/>
      <c r="D31" s="376"/>
      <c r="E31" s="367"/>
      <c r="F31" s="196" t="s">
        <v>63</v>
      </c>
      <c r="G31" s="34"/>
    </row>
    <row r="32" spans="1:7" ht="48.75" customHeight="1">
      <c r="A32" s="369"/>
      <c r="B32" s="358"/>
      <c r="C32" s="355"/>
      <c r="D32" s="376"/>
      <c r="E32" s="367"/>
      <c r="F32" s="196" t="s">
        <v>66</v>
      </c>
      <c r="G32" s="34"/>
    </row>
    <row r="33" spans="1:7" ht="98.45" customHeight="1">
      <c r="A33" s="369"/>
      <c r="B33" s="358"/>
      <c r="C33" s="355"/>
      <c r="D33" s="376"/>
      <c r="E33" s="367"/>
      <c r="F33" s="196" t="s">
        <v>65</v>
      </c>
      <c r="G33" s="34"/>
    </row>
    <row r="34" spans="1:7" ht="89.1" customHeight="1">
      <c r="A34" s="369"/>
      <c r="B34" s="358"/>
      <c r="C34" s="355"/>
      <c r="D34" s="376"/>
      <c r="E34" s="367"/>
      <c r="F34" s="196" t="s">
        <v>67</v>
      </c>
      <c r="G34" s="34"/>
    </row>
    <row r="35" spans="1:7" ht="29.1" customHeight="1">
      <c r="A35" s="369"/>
      <c r="B35" s="358"/>
      <c r="C35" s="355"/>
      <c r="D35" s="376"/>
      <c r="E35" s="367"/>
      <c r="F35" s="196" t="s">
        <v>68</v>
      </c>
      <c r="G35" s="34"/>
    </row>
    <row r="36" spans="1:7" ht="126.75">
      <c r="A36" s="369"/>
      <c r="B36" s="359"/>
      <c r="C36" s="356"/>
      <c r="D36" s="377"/>
      <c r="E36" s="368"/>
      <c r="F36" s="197" t="s">
        <v>69</v>
      </c>
      <c r="G36" s="34"/>
    </row>
    <row r="37" spans="1:7" ht="112.5">
      <c r="A37" s="369"/>
      <c r="B37" s="170">
        <v>3.01</v>
      </c>
      <c r="C37" s="171" t="s">
        <v>70</v>
      </c>
      <c r="D37" s="39" t="s">
        <v>2270</v>
      </c>
      <c r="E37" s="198" t="s">
        <v>1328</v>
      </c>
      <c r="F37" s="199" t="s">
        <v>1434</v>
      </c>
      <c r="G37" s="34"/>
    </row>
    <row r="38" spans="1:7" ht="101.25">
      <c r="A38" s="369"/>
      <c r="B38" s="170">
        <v>3.02</v>
      </c>
      <c r="C38" s="171" t="s">
        <v>1361</v>
      </c>
      <c r="D38" s="39" t="s">
        <v>2271</v>
      </c>
      <c r="E38" s="198" t="s">
        <v>1376</v>
      </c>
      <c r="F38" s="199" t="s">
        <v>1435</v>
      </c>
      <c r="G38" s="34"/>
    </row>
    <row r="39" spans="1:7" ht="101.25">
      <c r="A39" s="369"/>
      <c r="B39" s="180">
        <v>4</v>
      </c>
      <c r="C39" s="179" t="s">
        <v>1531</v>
      </c>
      <c r="D39" s="39" t="s">
        <v>2272</v>
      </c>
      <c r="E39" s="37" t="s">
        <v>2215</v>
      </c>
      <c r="F39" s="37" t="s">
        <v>1532</v>
      </c>
      <c r="G39" s="34"/>
    </row>
    <row r="40" spans="1:7" ht="56.25">
      <c r="A40" s="369"/>
      <c r="B40" s="170">
        <v>4.01</v>
      </c>
      <c r="C40" s="179" t="s">
        <v>1531</v>
      </c>
      <c r="D40" s="39" t="s">
        <v>2274</v>
      </c>
      <c r="E40" s="37" t="s">
        <v>2229</v>
      </c>
      <c r="F40" s="37" t="s">
        <v>2233</v>
      </c>
      <c r="G40" s="34"/>
    </row>
    <row r="41" spans="1:7" ht="56.25">
      <c r="A41" s="369"/>
      <c r="B41" s="170" t="s">
        <v>2261</v>
      </c>
      <c r="C41" s="179" t="s">
        <v>1531</v>
      </c>
      <c r="D41" s="39" t="s">
        <v>2273</v>
      </c>
      <c r="E41" s="37" t="s">
        <v>2264</v>
      </c>
      <c r="F41" s="37" t="s">
        <v>2262</v>
      </c>
      <c r="G41" s="34"/>
    </row>
    <row r="42" spans="1:7" ht="56.25">
      <c r="A42" s="369"/>
      <c r="B42" s="170" t="s">
        <v>2299</v>
      </c>
      <c r="C42" s="179" t="s">
        <v>1531</v>
      </c>
      <c r="D42" s="39" t="s">
        <v>2306</v>
      </c>
      <c r="E42" s="37" t="s">
        <v>2263</v>
      </c>
      <c r="F42" s="37" t="s">
        <v>2300</v>
      </c>
      <c r="G42" s="34"/>
    </row>
    <row r="43" spans="1:7" ht="123.75">
      <c r="A43" s="369"/>
      <c r="B43" s="191">
        <v>4.0999999999999996</v>
      </c>
      <c r="C43" s="179" t="s">
        <v>2305</v>
      </c>
      <c r="D43" s="192">
        <v>42867</v>
      </c>
      <c r="E43" s="200" t="s">
        <v>2308</v>
      </c>
      <c r="F43" s="37" t="s">
        <v>2307</v>
      </c>
      <c r="G43" s="34"/>
    </row>
    <row r="44" spans="1:7" ht="78.75">
      <c r="A44" s="369"/>
      <c r="B44" s="191">
        <v>4.2</v>
      </c>
      <c r="C44" s="179" t="s">
        <v>2305</v>
      </c>
      <c r="D44" s="192">
        <v>42704</v>
      </c>
      <c r="E44" s="200" t="s">
        <v>2510</v>
      </c>
      <c r="F44" s="37" t="s">
        <v>2485</v>
      </c>
      <c r="G44" s="34"/>
    </row>
    <row r="45" spans="1:7" ht="157.5">
      <c r="A45" s="369"/>
      <c r="B45" s="240">
        <v>5</v>
      </c>
      <c r="C45" s="179" t="s">
        <v>2305</v>
      </c>
      <c r="D45" s="192">
        <v>42867</v>
      </c>
      <c r="E45" s="200" t="s">
        <v>12917</v>
      </c>
      <c r="F45" s="37" t="s">
        <v>12639</v>
      </c>
      <c r="G45" s="34"/>
    </row>
    <row r="46" spans="1:7" ht="45">
      <c r="A46" s="369"/>
      <c r="B46" s="191">
        <v>5.01</v>
      </c>
      <c r="C46" s="179" t="s">
        <v>2305</v>
      </c>
      <c r="D46" s="192">
        <v>42907</v>
      </c>
      <c r="E46" s="200" t="s">
        <v>12935</v>
      </c>
      <c r="F46" s="37" t="s">
        <v>12639</v>
      </c>
      <c r="G46" s="34"/>
    </row>
    <row r="47" spans="1:7" ht="67.5">
      <c r="A47" s="369"/>
      <c r="B47" s="191">
        <v>5.0999999999999996</v>
      </c>
      <c r="C47" s="179" t="s">
        <v>2305</v>
      </c>
      <c r="D47" s="192">
        <v>43070</v>
      </c>
      <c r="E47" s="200" t="s">
        <v>13129</v>
      </c>
      <c r="F47" s="37" t="s">
        <v>13130</v>
      </c>
      <c r="G47" s="34"/>
    </row>
    <row r="48" spans="1:7" ht="56.25">
      <c r="A48" s="369"/>
      <c r="B48" s="191">
        <v>5.1100000000000003</v>
      </c>
      <c r="C48" s="179" t="s">
        <v>13371</v>
      </c>
      <c r="D48" s="192">
        <v>43217</v>
      </c>
      <c r="E48" s="200" t="s">
        <v>13499</v>
      </c>
      <c r="F48" s="37" t="s">
        <v>13405</v>
      </c>
      <c r="G48" s="34"/>
    </row>
    <row r="49" spans="1:7" ht="56.25">
      <c r="A49" s="369"/>
      <c r="B49" s="191">
        <v>5.12</v>
      </c>
      <c r="C49" s="179" t="s">
        <v>13371</v>
      </c>
      <c r="D49" s="192">
        <v>43581</v>
      </c>
      <c r="E49" s="200" t="s">
        <v>13499</v>
      </c>
      <c r="F49" s="37" t="s">
        <v>14064</v>
      </c>
      <c r="G49" s="34"/>
    </row>
    <row r="50" spans="1:7" ht="78.75">
      <c r="A50" s="369"/>
      <c r="B50" s="240">
        <v>6</v>
      </c>
      <c r="C50" s="179" t="s">
        <v>13371</v>
      </c>
      <c r="D50" s="192">
        <v>43964</v>
      </c>
      <c r="E50" s="200" t="s">
        <v>14291</v>
      </c>
      <c r="F50" s="37" t="s">
        <v>14074</v>
      </c>
      <c r="G50" s="34"/>
    </row>
    <row r="51" spans="1:7" ht="45">
      <c r="A51" s="369"/>
      <c r="B51" s="191">
        <v>6.01</v>
      </c>
      <c r="C51" s="179" t="s">
        <v>13371</v>
      </c>
      <c r="D51" s="192">
        <v>43970</v>
      </c>
      <c r="E51" s="200" t="s">
        <v>15309</v>
      </c>
      <c r="F51" s="200" t="s">
        <v>14074</v>
      </c>
      <c r="G51" s="34"/>
    </row>
    <row r="52" spans="1:7" ht="45">
      <c r="A52" s="369"/>
      <c r="B52" s="191">
        <v>6.1</v>
      </c>
      <c r="C52" s="179" t="s">
        <v>13371</v>
      </c>
      <c r="D52" s="192">
        <v>44314</v>
      </c>
      <c r="E52" s="200" t="s">
        <v>15314</v>
      </c>
      <c r="F52" s="200" t="s">
        <v>15319</v>
      </c>
      <c r="G52" s="34"/>
    </row>
    <row r="53" spans="1:7" ht="13.5" thickBot="1">
      <c r="A53" s="370"/>
      <c r="B53" s="371" t="str">
        <f ca="1">OFFSET(L!$C$1,MATCH("General"&amp;"Cpy",L!$A:$A,0)-1,SL,,)</f>
        <v>© 2021 Responsible Minerals Initiative. All rights reserved.</v>
      </c>
      <c r="C53" s="371"/>
      <c r="D53" s="371"/>
      <c r="E53" s="371"/>
      <c r="F53" s="371"/>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88"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9"/>
      <c r="G3" s="419"/>
      <c r="H3" s="419"/>
      <c r="I3" s="182"/>
      <c r="J3" s="167" t="s">
        <v>15318</v>
      </c>
      <c r="K3" s="47"/>
      <c r="L3" s="139"/>
      <c r="M3" s="130"/>
      <c r="N3" s="130"/>
      <c r="O3" s="131"/>
      <c r="P3" s="144">
        <f>MATCH($D$3,LN,0)</f>
        <v>1</v>
      </c>
    </row>
    <row r="4" spans="1:34" ht="15.75">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2" t="s">
        <v>15606</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1" t="s">
        <v>494</v>
      </c>
      <c r="E9" s="422"/>
      <c r="F9" s="422"/>
      <c r="G9" s="42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25" t="str">
        <f ca="1">OFFSET(L!$C$1,MATCH("Declaration"&amp;ADDRESS(ROW(),COLUMN(),4)&amp;LEFT($D$9,1),L!$A:$A,0)-1,SL,,)</f>
        <v>Description of Scope:</v>
      </c>
      <c r="C10" s="151"/>
      <c r="D10" s="416"/>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6"/>
      <c r="C11" s="151"/>
      <c r="D11" s="435" t="str">
        <f ca="1">IF(D9=Q9,OFFSET(L!$C$1,MATCH("Declaration"&amp;ADDRESS(ROW(),COLUMN(),4),L!$A:$A,0)-1,SL,,),"")</f>
        <v/>
      </c>
      <c r="E11" s="436"/>
      <c r="F11" s="436"/>
      <c r="G11" s="436"/>
      <c r="H11" s="436"/>
      <c r="I11" s="436"/>
      <c r="J11" s="43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8"/>
      <c r="E12" s="399"/>
      <c r="F12" s="399"/>
      <c r="G12" s="399"/>
      <c r="H12" s="399"/>
      <c r="I12" s="399"/>
      <c r="J12" s="40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8"/>
      <c r="E13" s="399"/>
      <c r="F13" s="399"/>
      <c r="G13" s="399"/>
      <c r="H13" s="399"/>
      <c r="I13" s="399"/>
      <c r="J13" s="40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8"/>
      <c r="E14" s="399"/>
      <c r="F14" s="399"/>
      <c r="G14" s="399"/>
      <c r="H14" s="399"/>
      <c r="I14" s="399"/>
      <c r="J14" s="40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8" t="s">
        <v>15607</v>
      </c>
      <c r="E15" s="399"/>
      <c r="F15" s="399"/>
      <c r="G15" s="399"/>
      <c r="H15" s="399"/>
      <c r="I15" s="399"/>
      <c r="J15" s="40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7" t="s">
        <v>15608</v>
      </c>
      <c r="E16" s="428"/>
      <c r="F16" s="428"/>
      <c r="G16" s="428"/>
      <c r="H16" s="428"/>
      <c r="I16" s="428"/>
      <c r="J16" s="42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8" t="s">
        <v>15609</v>
      </c>
      <c r="E17" s="399"/>
      <c r="F17" s="399"/>
      <c r="G17" s="399"/>
      <c r="H17" s="399"/>
      <c r="I17" s="399"/>
      <c r="J17" s="40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8" t="s">
        <v>15607</v>
      </c>
      <c r="E18" s="399"/>
      <c r="F18" s="399"/>
      <c r="G18" s="399"/>
      <c r="H18" s="399"/>
      <c r="I18" s="399"/>
      <c r="J18" s="40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8" t="s">
        <v>15610</v>
      </c>
      <c r="E19" s="399"/>
      <c r="F19" s="399"/>
      <c r="G19" s="399"/>
      <c r="H19" s="399"/>
      <c r="I19" s="399"/>
      <c r="J19" s="40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7" t="s">
        <v>15608</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2" t="s">
        <v>15609</v>
      </c>
      <c r="E21" s="393"/>
      <c r="F21" s="393"/>
      <c r="G21" s="393"/>
      <c r="H21" s="393"/>
      <c r="I21" s="393"/>
      <c r="J21" s="39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5">
        <v>44398</v>
      </c>
      <c r="E22" s="39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2"/>
      <c r="E23" s="43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7" t="str">
        <f ca="1">OFFSET(L!$C$1,MATCH("Declaration"&amp;ADDRESS(ROW(),COLUMN(),4),L!$A:$A,0)-1,SL,,)</f>
        <v>Answer the following questions 1 - 8 based on the declaration scope indicated above</v>
      </c>
      <c r="C24" s="397"/>
      <c r="D24" s="397"/>
      <c r="E24" s="397"/>
      <c r="F24" s="397"/>
      <c r="G24" s="397"/>
      <c r="H24" s="397"/>
      <c r="I24" s="397"/>
      <c r="J24" s="39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3" t="str">
        <f ca="1">OFFSET(L!$C$1,MATCH("Declaration"&amp;ADDRESS(ROW(),COLUMN(),4),L!$A:$A,0)-1,SL,,)</f>
        <v>Answer</v>
      </c>
      <c r="E25" s="433"/>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84" t="s">
        <v>489</v>
      </c>
      <c r="E27" s="385"/>
      <c r="F27" s="15"/>
      <c r="G27" s="386"/>
      <c r="H27" s="387"/>
      <c r="I27" s="387"/>
      <c r="J27" s="388"/>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4" t="s">
        <v>489</v>
      </c>
      <c r="E28" s="385"/>
      <c r="F28" s="15"/>
      <c r="G28" s="386"/>
      <c r="H28" s="387"/>
      <c r="I28" s="387"/>
      <c r="J28" s="38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v>
      </c>
      <c r="C31" s="13"/>
      <c r="D31" s="391" t="str">
        <f ca="1">D25</f>
        <v>Answer</v>
      </c>
      <c r="E31" s="391"/>
      <c r="F31" s="21"/>
      <c r="G31" s="55" t="str">
        <f ca="1">G25</f>
        <v>Comments</v>
      </c>
      <c r="H31" s="55"/>
      <c r="I31" s="55"/>
      <c r="J31" s="96"/>
      <c r="K31" s="47"/>
      <c r="L31" s="136" t="s">
        <v>1243</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1"/>
      <c r="E32" s="402"/>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84"/>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4"/>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v>
      </c>
      <c r="C37" s="13"/>
      <c r="D37" s="391" t="str">
        <f ca="1">D25</f>
        <v>Answer</v>
      </c>
      <c r="E37" s="391"/>
      <c r="F37" s="21"/>
      <c r="G37" s="55" t="str">
        <f ca="1">G25</f>
        <v>Comments</v>
      </c>
      <c r="H37" s="431"/>
      <c r="I37" s="431"/>
      <c r="J37" s="431"/>
      <c r="K37" s="47"/>
      <c r="L37" s="136" t="s">
        <v>1243</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84"/>
      <c r="E39" s="385"/>
      <c r="F39" s="58"/>
      <c r="G39" s="386"/>
      <c r="H39" s="387"/>
      <c r="I39" s="387"/>
      <c r="J39" s="388"/>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4"/>
      <c r="E40" s="385"/>
      <c r="F40" s="58"/>
      <c r="G40" s="386"/>
      <c r="H40" s="387"/>
      <c r="I40" s="387"/>
      <c r="J40" s="38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v>
      </c>
      <c r="C43" s="13"/>
      <c r="D43" s="391" t="str">
        <f ca="1">D25</f>
        <v>Answer</v>
      </c>
      <c r="E43" s="391"/>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84"/>
      <c r="E45" s="385"/>
      <c r="F45" s="58"/>
      <c r="G45" s="386"/>
      <c r="H45" s="387"/>
      <c r="I45" s="387"/>
      <c r="J45" s="388"/>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4"/>
      <c r="E46" s="385"/>
      <c r="F46" s="58"/>
      <c r="G46" s="386"/>
      <c r="H46" s="387"/>
      <c r="I46" s="387"/>
      <c r="J46" s="38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91" t="str">
        <f ca="1">D25</f>
        <v>Answer</v>
      </c>
      <c r="E49" s="39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84"/>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4"/>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 xml:space="preserve">6) What percentage of relevant suppliers have provided a response to your supply chain survey? </v>
      </c>
      <c r="C55" s="13"/>
      <c r="D55" s="391" t="str">
        <f ca="1">D25</f>
        <v>Answer</v>
      </c>
      <c r="E55" s="39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9"/>
      <c r="E56" s="390"/>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389"/>
      <c r="E57" s="390"/>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89"/>
      <c r="E58" s="390"/>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9"/>
      <c r="E59" s="390"/>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 xml:space="preserve">7) Have you identified all of the smelters supplying the 3TG to your supply chain? </v>
      </c>
      <c r="C61" s="13"/>
      <c r="D61" s="391" t="str">
        <f ca="1">D25</f>
        <v>Answer</v>
      </c>
      <c r="E61" s="391"/>
      <c r="F61" s="21"/>
      <c r="G61" s="55" t="str">
        <f ca="1">G25</f>
        <v>Comments</v>
      </c>
      <c r="H61" s="430"/>
      <c r="I61" s="430"/>
      <c r="J61" s="430"/>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1"/>
      <c r="E62" s="402"/>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84"/>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4"/>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 xml:space="preserve">8) Has all applicable smelter information received by your company been reported in this declaration? </v>
      </c>
      <c r="C67" s="13"/>
      <c r="D67" s="391" t="str">
        <f ca="1">D25</f>
        <v>Answer</v>
      </c>
      <c r="E67" s="391"/>
      <c r="F67" s="21"/>
      <c r="G67" s="55" t="str">
        <f ca="1">G25</f>
        <v>Comments</v>
      </c>
      <c r="H67" s="430" t="str">
        <f>IF(Q75="(*)","Click here to enter smelter names","")</f>
        <v/>
      </c>
      <c r="I67" s="430"/>
      <c r="J67" s="430"/>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84"/>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4"/>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4" t="str">
        <f ca="1">OFFSET(L!$C$1,MATCH("Declaration"&amp;ADDRESS(ROW(),COLUMN(),4),L!$A:$A,0)-1,SL,,)</f>
        <v>Answer the Following Questions at a Company Level</v>
      </c>
      <c r="C73" s="444"/>
      <c r="D73" s="444"/>
      <c r="E73" s="444"/>
      <c r="F73" s="444"/>
      <c r="G73" s="444"/>
      <c r="H73" s="444"/>
      <c r="I73" s="444"/>
      <c r="J73" s="44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3" t="str">
        <f ca="1">D25</f>
        <v>Answer</v>
      </c>
      <c r="E74" s="433"/>
      <c r="F74" s="64"/>
      <c r="G74" s="433" t="str">
        <f ca="1">G25</f>
        <v>Comments</v>
      </c>
      <c r="H74" s="433" t="e">
        <f>HLOOKUP(SL,LT,$O74,0)</f>
        <v>#NAME?</v>
      </c>
      <c r="I74" s="43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4"/>
      <c r="H76" s="434"/>
      <c r="I76" s="434"/>
      <c r="J76" s="43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84" t="s">
        <v>489</v>
      </c>
      <c r="E77" s="385"/>
      <c r="F77" s="68"/>
      <c r="G77" s="403"/>
      <c r="H77" s="404"/>
      <c r="I77" s="404"/>
      <c r="J77" s="40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441" t="s">
        <v>488</v>
      </c>
      <c r="E85" s="442"/>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4"/>
      <c r="H86" s="434"/>
      <c r="I86" s="434"/>
      <c r="J86" s="43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3"/>
      <c r="H88" s="443"/>
      <c r="I88" s="443"/>
      <c r="J88" s="44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2021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14" activePane="bottomLeft" state="frozen"/>
      <selection pane="bottomLeft" activeCell="A5" sqref="A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3.9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c r="B5" s="215" t="str">
        <f>IF(LEN(A5)=0,"",INDEX('Smelter Look-up'!$A:$A,MATCH($A5,'Smelter Look-up'!$E:$E,0)))</f>
        <v/>
      </c>
      <c r="C5" s="219" t="str">
        <f>IF(LEN(A5)=0,"",INDEX('Smelter Look-up'!$C:$C,MATCH($A5,'Smelter Look-up'!$E:$E,0)))</f>
        <v/>
      </c>
      <c r="D5" s="278"/>
      <c r="E5" s="215" t="str">
        <f ca="1">IF(ISERROR($V5),"",OFFSET('Smelter Look-up'!$D$4,$V5-4,0)&amp;"")</f>
        <v/>
      </c>
      <c r="F5" s="215" t="str">
        <f ca="1">IF(ISERROR($V5),"",OFFSET('Smelter Look-up'!$E$4,$V5-4,0))</f>
        <v/>
      </c>
      <c r="G5" s="215" t="str">
        <f ca="1">IF(C5=$X$4,"Enter smelter details",IF(ISERROR($V5),"",OFFSET('Smelter Look-up'!$F$4,$V5-4,0)))</f>
        <v/>
      </c>
      <c r="H5" s="216" t="str">
        <f ca="1">IF(ISERROR($V5),"",OFFSET('Smelter Look-up'!$G$4,$V5-4,0))</f>
        <v/>
      </c>
      <c r="I5" s="217" t="str">
        <f ca="1">IF(ISERROR($V5),"",OFFSET('Smelter Look-up'!$H$4,$V5-4,0))</f>
        <v/>
      </c>
      <c r="J5" s="217" t="str">
        <f ca="1">IF(ISERROR($V5),"",OFFSET('Smelter Look-up'!$I$4,$V5-4,0))</f>
        <v/>
      </c>
      <c r="K5" s="268"/>
      <c r="L5" s="268"/>
      <c r="M5" s="268"/>
      <c r="N5" s="268"/>
      <c r="O5" s="268"/>
      <c r="P5" s="218"/>
      <c r="Q5" s="269"/>
      <c r="R5" s="215" t="str">
        <f ca="1">IF(ISERROR($V5),"",OFFSET('Smelter Look-up'!$C$4,$V5-4,0)&amp;"")</f>
        <v/>
      </c>
      <c r="S5" s="222" t="str">
        <f t="shared" ref="S5" ca="1" si="0">IF(B5="","",IF(ISERROR(MATCH($E5,CL,0)),"Unknown",INDIRECT("'C'!$A$"&amp;MATCH($E5,CL,0)+1)))</f>
        <v/>
      </c>
      <c r="T5" s="222" t="str">
        <f ca="1">IF(B5="","",IF(ISERROR(MATCH($J5,SorP!$B$1:$B$6230,0)),"",INDIRECT("'SorP'!$A$"&amp;MATCH($J5,SorP!$B$1:$B$6230,0))))</f>
        <v/>
      </c>
      <c r="U5" s="238"/>
      <c r="V5" s="270" t="e">
        <f>IF(C5="",NA(),MATCH($B5&amp;$C5,'Smelter Look-up'!$J:$J,0))</f>
        <v>#N/A</v>
      </c>
      <c r="W5" s="271"/>
      <c r="X5" s="271">
        <f t="shared" ref="X5" ca="1" si="1">IF(AND(C5="Smelter not listed",OR(LEN(D5)=0,LEN(E5)=0)),1,0)</f>
        <v>0</v>
      </c>
      <c r="Y5" s="271"/>
      <c r="Z5" s="271"/>
      <c r="AB5" s="273" t="str">
        <f t="shared" ref="AB5" si="2">B5&amp;C5</f>
        <v/>
      </c>
    </row>
    <row r="6" spans="1:34" s="272" customFormat="1" ht="20.100000000000001" customHeight="1">
      <c r="A6" s="324"/>
      <c r="B6" s="215" t="str">
        <f>IF(LEN(A6)=0,"",INDEX('Smelter Look-up'!$A:$A,MATCH($A6,'Smelter Look-up'!$E:$E,0)))</f>
        <v/>
      </c>
      <c r="C6" s="219" t="str">
        <f>IF(LEN(A6)=0,"",INDEX('Smelter Look-up'!$C:$C,MATCH($A6,'Smelter Look-up'!$E:$E,0)))</f>
        <v/>
      </c>
      <c r="D6" s="278"/>
      <c r="E6" s="215" t="str">
        <f ca="1">IF(ISERROR($V6),"",OFFSET('Smelter Look-up'!$D$4,$V6-4,0)&amp;"")</f>
        <v/>
      </c>
      <c r="F6" s="215" t="str">
        <f ca="1">IF(ISERROR($V6),"",OFFSET('Smelter Look-up'!$E$4,$V6-4,0))</f>
        <v/>
      </c>
      <c r="G6" s="215" t="str">
        <f ca="1">IF(C6=$X$4,"Enter smelter details",IF(ISERROR($V6),"",OFFSET('Smelter Look-up'!$F$4,$V6-4,0)))</f>
        <v/>
      </c>
      <c r="H6" s="216" t="str">
        <f ca="1">IF(ISERROR($V6),"",OFFSET('Smelter Look-up'!$G$4,$V6-4,0))</f>
        <v/>
      </c>
      <c r="I6" s="217" t="str">
        <f ca="1">IF(ISERROR($V6),"",OFFSET('Smelter Look-up'!$H$4,$V6-4,0))</f>
        <v/>
      </c>
      <c r="J6" s="217" t="str">
        <f ca="1">IF(ISERROR($V6),"",OFFSET('Smelter Look-up'!$I$4,$V6-4,0))</f>
        <v/>
      </c>
      <c r="K6" s="268"/>
      <c r="L6" s="268"/>
      <c r="M6" s="268"/>
      <c r="N6" s="268"/>
      <c r="O6" s="268"/>
      <c r="P6" s="218"/>
      <c r="Q6" s="269"/>
      <c r="R6" s="215" t="str">
        <f ca="1">IF(ISERROR($V6),"",OFFSET('Smelter Look-up'!$C$4,$V6-4,0)&amp;"")</f>
        <v/>
      </c>
      <c r="S6" s="222" t="str">
        <f t="shared" ref="S6:S37" ca="1" si="3">IF(B6="","",IF(ISERROR(MATCH($E6,CL,0)),"Unknown",INDIRECT("'C'!$A$"&amp;MATCH($E6,CL,0)+1)))</f>
        <v/>
      </c>
      <c r="T6" s="222" t="str">
        <f ca="1">IF(B6="","",IF(ISERROR(MATCH($J6,SorP!$B$1:$B$6230,0)),"",INDIRECT("'SorP'!$A$"&amp;MATCH($J6,SorP!$B$1:$B$6230,0))))</f>
        <v/>
      </c>
      <c r="U6" s="238"/>
      <c r="V6" s="270" t="e">
        <f>IF(C6="",NA(),MATCH($B6&amp;$C6,'Smelter Look-up'!$J:$J,0))</f>
        <v>#N/A</v>
      </c>
      <c r="W6" s="271"/>
      <c r="X6" s="271">
        <f t="shared" ref="X6:X37" ca="1" si="4">IF(AND(C6="Smelter not listed",OR(LEN(D6)=0,LEN(E6)=0)),1,0)</f>
        <v>0</v>
      </c>
      <c r="Y6" s="271"/>
      <c r="Z6" s="271"/>
      <c r="AB6" s="273" t="str">
        <f t="shared" ref="AB6:AB37" si="5">B6&amp;C6</f>
        <v/>
      </c>
    </row>
    <row r="7" spans="1:34" s="272" customFormat="1" ht="20.100000000000001" customHeight="1">
      <c r="A7" s="324"/>
      <c r="B7" s="215" t="str">
        <f>IF(LEN(A7)=0,"",INDEX('Smelter Look-up'!$A:$A,MATCH($A7,'Smelter Look-up'!$E:$E,0)))</f>
        <v/>
      </c>
      <c r="C7" s="219" t="str">
        <f>IF(LEN(A7)=0,"",INDEX('Smelter Look-up'!$C:$C,MATCH($A7,'Smelter Look-up'!$E:$E,0)))</f>
        <v/>
      </c>
      <c r="D7" s="278"/>
      <c r="E7" s="215" t="str">
        <f ca="1">IF(ISERROR($V7),"",OFFSET('Smelter Look-up'!$D$4,$V7-4,0)&amp;"")</f>
        <v/>
      </c>
      <c r="F7" s="215" t="str">
        <f ca="1">IF(ISERROR($V7),"",OFFSET('Smelter Look-up'!$E$4,$V7-4,0))</f>
        <v/>
      </c>
      <c r="G7" s="215" t="str">
        <f ca="1">IF(C7=$X$4,"Enter smelter details",IF(ISERROR($V7),"",OFFSET('Smelter Look-up'!$F$4,$V7-4,0)))</f>
        <v/>
      </c>
      <c r="H7" s="216" t="str">
        <f ca="1">IF(ISERROR($V7),"",OFFSET('Smelter Look-up'!$G$4,$V7-4,0))</f>
        <v/>
      </c>
      <c r="I7" s="217" t="str">
        <f ca="1">IF(ISERROR($V7),"",OFFSET('Smelter Look-up'!$H$4,$V7-4,0))</f>
        <v/>
      </c>
      <c r="J7" s="217" t="str">
        <f ca="1">IF(ISERROR($V7),"",OFFSET('Smelter Look-up'!$I$4,$V7-4,0))</f>
        <v/>
      </c>
      <c r="K7" s="268"/>
      <c r="L7" s="268"/>
      <c r="M7" s="268"/>
      <c r="N7" s="268"/>
      <c r="O7" s="268"/>
      <c r="P7" s="218"/>
      <c r="Q7" s="269"/>
      <c r="R7" s="215" t="str">
        <f ca="1">IF(ISERROR($V7),"",OFFSET('Smelter Look-up'!$C$4,$V7-4,0)&amp;"")</f>
        <v/>
      </c>
      <c r="S7" s="222" t="str">
        <f t="shared" ca="1" si="3"/>
        <v/>
      </c>
      <c r="T7" s="222" t="str">
        <f ca="1">IF(B7="","",IF(ISERROR(MATCH($J7,SorP!$B$1:$B$6230,0)),"",INDIRECT("'SorP'!$A$"&amp;MATCH($J7,SorP!$B$1:$B$6230,0))))</f>
        <v/>
      </c>
      <c r="U7" s="238"/>
      <c r="V7" s="270" t="e">
        <f>IF(C7="",NA(),MATCH($B7&amp;$C7,'Smelter Look-up'!$J:$J,0))</f>
        <v>#N/A</v>
      </c>
      <c r="W7" s="271"/>
      <c r="X7" s="271">
        <f t="shared" ca="1" si="4"/>
        <v>0</v>
      </c>
      <c r="Y7" s="271"/>
      <c r="Z7" s="271"/>
      <c r="AB7" s="273" t="str">
        <f t="shared" si="5"/>
        <v/>
      </c>
    </row>
    <row r="8" spans="1:34" s="272" customFormat="1" ht="20.100000000000001"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ca="1" si="4"/>
        <v>0</v>
      </c>
      <c r="Y8" s="271"/>
      <c r="Z8" s="271"/>
      <c r="AB8" s="273" t="str">
        <f t="shared" si="5"/>
        <v/>
      </c>
    </row>
    <row r="9" spans="1:34" s="272" customFormat="1" ht="20.100000000000001"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20.100000000000001"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20.100000000000001"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20.100000000000001"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20.100000000000001"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20.100000000000001"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20.100000000000001"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20.100000000000001"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20.100000000000001"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5"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Backer Hotwatt</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Michael Parisi</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mike.parisi@hotwatt.com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978-777-0070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Michael Parisi</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mike.parisi@hotwatt.com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44398</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807</v>
      </c>
      <c r="F20" s="107">
        <f>IF(B$15="No",0,1)</f>
        <v>0</v>
      </c>
      <c r="G20" s="81">
        <f>IF(B20=0,1,0)</f>
        <v>1</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807</v>
      </c>
      <c r="F25" s="107">
        <f>IF(OR(B15="No",B20="No"),0,1)</f>
        <v>0</v>
      </c>
      <c r="G25" s="81">
        <f>IF(B25=0,1,0)</f>
        <v>1</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22" t="str">
        <f>IF(H30=1,"Click here to answer question 4 for Tin","")</f>
        <v/>
      </c>
      <c r="E30" s="84"/>
      <c r="F30" s="107">
        <f>F25</f>
        <v>0</v>
      </c>
      <c r="G30" s="81">
        <f>IF(B30=0,1,0)</f>
        <v>1</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22" t="str">
        <f>IF(H35=1,"Click here to answer question 5 for Tin","")</f>
        <v/>
      </c>
      <c r="E35" s="84" t="s">
        <v>1307</v>
      </c>
      <c r="F35" s="107">
        <f>F25</f>
        <v>0</v>
      </c>
      <c r="G35" s="81">
        <f>IF(B35=0,1,0)</f>
        <v>1</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341">
        <f>IF(AND($B$15="Yes",$B$20="Yes"),Declaration!D57,0)</f>
        <v>0</v>
      </c>
      <c r="C40" s="102" t="str">
        <f ca="1">IF(H40=1,J40,I40)</f>
        <v>Complete</v>
      </c>
      <c r="D40" s="323" t="str">
        <f>IF(H40=1,"Click here to answer question 6 for Tin","")</f>
        <v/>
      </c>
      <c r="E40" s="84" t="s">
        <v>806</v>
      </c>
      <c r="F40" s="107">
        <f>F25</f>
        <v>0</v>
      </c>
      <c r="G40" s="81">
        <f>IF(B40=0,1,0)</f>
        <v>1</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22" t="str">
        <f>IF(H45=1,"Click here to answer question 7 for Tin","")</f>
        <v/>
      </c>
      <c r="E45" s="84" t="s">
        <v>1303</v>
      </c>
      <c r="F45" s="107">
        <f>F25</f>
        <v>0</v>
      </c>
      <c r="G45" s="81">
        <f>IF(B45=0,1,0)</f>
        <v>1</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23" t="str">
        <f>IF(H50=1,"Click here to answer question 8 for Tin","")</f>
        <v/>
      </c>
      <c r="E50" s="84" t="s">
        <v>807</v>
      </c>
      <c r="F50" s="107">
        <f>F25</f>
        <v>0</v>
      </c>
      <c r="G50" s="81">
        <f>IF(B50=0,1,0)</f>
        <v>1</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1307</v>
      </c>
      <c r="F54" s="107">
        <f>IF(SUM(F$24:F$27)=0,0,1)</f>
        <v>0</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No</v>
      </c>
      <c r="C55" s="102" t="str">
        <f t="shared" ca="1" si="10"/>
        <v>Complete</v>
      </c>
      <c r="D55" s="108" t="str">
        <f>IF(H55=1,"Click here to answer question (B)","")</f>
        <v/>
      </c>
      <c r="E55" s="84" t="s">
        <v>1307</v>
      </c>
      <c r="F55" s="107">
        <f t="shared" ref="F55" si="12">F$54</f>
        <v>0</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v>
      </c>
      <c r="B57" s="102" t="str">
        <f>Declaration!D79</f>
        <v>Yes</v>
      </c>
      <c r="C57" s="102" t="str">
        <f t="shared" ca="1" si="10"/>
        <v>Complete</v>
      </c>
      <c r="D57" s="108" t="str">
        <f>IF(H57=1,"Click here to answer question (C)","")</f>
        <v/>
      </c>
      <c r="E57" s="84" t="s">
        <v>1307</v>
      </c>
      <c r="F57" s="107">
        <f>F$54</f>
        <v>0</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Yes</v>
      </c>
      <c r="C58" s="102" t="str">
        <f t="shared" ca="1" si="10"/>
        <v>Complete</v>
      </c>
      <c r="D58" s="108" t="str">
        <f>IF(H58=1,"Click here to answer question (D)","")</f>
        <v/>
      </c>
      <c r="E58" s="84" t="s">
        <v>1307</v>
      </c>
      <c r="F58" s="107">
        <f>F$54</f>
        <v>0</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Yes, in conformance with IPC1755 (e.g., CMRT)</v>
      </c>
      <c r="C59" s="102" t="str">
        <f t="shared" ca="1" si="10"/>
        <v>Complete</v>
      </c>
      <c r="D59" s="108" t="str">
        <f>IF(H59=1,"Click here to answer question (E)","")</f>
        <v/>
      </c>
      <c r="E59" s="84" t="s">
        <v>1307</v>
      </c>
      <c r="F59" s="107">
        <f>F$54</f>
        <v>0</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Yes</v>
      </c>
      <c r="C60" s="102" t="str">
        <f t="shared" ca="1" si="10"/>
        <v>Complete</v>
      </c>
      <c r="D60" s="108" t="str">
        <f>IF(H60=1,"Click here to answer question (F)","")</f>
        <v/>
      </c>
      <c r="E60" s="84" t="s">
        <v>1307</v>
      </c>
      <c r="F60" s="107">
        <f>F$54</f>
        <v>0</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v>
      </c>
      <c r="B62" s="102" t="str">
        <f>Declaration!D87</f>
        <v>Yes</v>
      </c>
      <c r="C62" s="102" t="str">
        <f t="shared" ref="C62:C68" ca="1" si="13">IF(H62=1,J62,I62)</f>
        <v>Complete</v>
      </c>
      <c r="D62" s="108" t="str">
        <f>IF(H62=1,"Click here to answer question (G)","")</f>
        <v/>
      </c>
      <c r="E62" s="84" t="s">
        <v>1307</v>
      </c>
      <c r="F62" s="107">
        <f>F$54</f>
        <v>0</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1307</v>
      </c>
      <c r="F63" s="107">
        <f>F$54</f>
        <v>0</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0</v>
      </c>
      <c r="G66" s="81">
        <f>IF(AND(COUNTIF(SmelterIdetifiedForMetal,"Tin")&gt;0,COUNTIF('Smelter List'!AB$5:AB$2504,"Tin?*")&gt;0),0,1)</f>
        <v>1</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0</v>
      </c>
      <c r="G67" s="81">
        <f>IF(AND(COUNTIF(SmelterIdetifiedForMetal,"Gold")&gt;0,COUNTIF('Smelter List'!AB$5:AB$2504,"Gold?*")&gt;0),0,1)</f>
        <v>1</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Joe Pyburn</cp:lastModifiedBy>
  <cp:lastPrinted>2015-04-21T20:47:43Z</cp:lastPrinted>
  <dcterms:created xsi:type="dcterms:W3CDTF">2010-06-21T21:00:23Z</dcterms:created>
  <dcterms:modified xsi:type="dcterms:W3CDTF">2021-07-21T15:19:29Z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